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1" activeTab="1"/>
  </bookViews>
  <sheets>
    <sheet name="приложение 10 (2)" sheetId="6" state="hidden" r:id="rId1"/>
    <sheet name="Мониторинг 2022" sheetId="2" r:id="rId2"/>
    <sheet name="прил2 таб 1 (2)" sheetId="4" state="hidden" r:id="rId3"/>
    <sheet name="прил2 таб 1 (3)" sheetId="5" state="hidden" r:id="rId4"/>
  </sheets>
  <definedNames>
    <definedName name="_xlnm.Print_Titles" localSheetId="1">'Мониторинг 2022'!$A:$A</definedName>
    <definedName name="_xlnm.Print_Area" localSheetId="1">'Мониторинг 2022'!$A$1:$BD$17</definedName>
    <definedName name="_xlnm.Print_Area" localSheetId="3">'прил2 таб 1 (3)'!$A$1:$I$20</definedName>
    <definedName name="_xlnm.Print_Area" localSheetId="0">'приложение 10 (2)'!$A$1:$AZ$24</definedName>
  </definedNames>
  <calcPr calcId="124519"/>
</workbook>
</file>

<file path=xl/calcChain.xml><?xml version="1.0" encoding="utf-8"?>
<calcChain xmlns="http://schemas.openxmlformats.org/spreadsheetml/2006/main">
  <c r="D16" i="2"/>
  <c r="D11"/>
  <c r="D13"/>
  <c r="D12"/>
  <c r="D10"/>
  <c r="D8"/>
  <c r="D9"/>
  <c r="M9"/>
  <c r="M10"/>
  <c r="M8"/>
  <c r="M15"/>
  <c r="M13"/>
  <c r="E8"/>
  <c r="AQ13"/>
  <c r="AA13"/>
  <c r="AA8"/>
  <c r="AA17"/>
  <c r="AV17"/>
  <c r="BB17"/>
  <c r="BD17"/>
  <c r="BC17"/>
  <c r="BA17"/>
  <c r="AZ17" s="1"/>
  <c r="O17"/>
  <c r="N17"/>
  <c r="U9" l="1"/>
  <c r="AA12"/>
  <c r="AA11"/>
  <c r="AA10"/>
  <c r="AA9"/>
  <c r="AA14"/>
  <c r="AA15"/>
  <c r="AA16"/>
  <c r="AX17"/>
  <c r="AY17"/>
  <c r="K17" l="1"/>
  <c r="AV9"/>
  <c r="E16" l="1"/>
  <c r="E15"/>
  <c r="E14"/>
  <c r="E13"/>
  <c r="E12"/>
  <c r="E11"/>
  <c r="E10"/>
  <c r="E9"/>
  <c r="L17"/>
  <c r="AN17"/>
  <c r="M11"/>
  <c r="M12"/>
  <c r="M14"/>
  <c r="M16"/>
  <c r="P17"/>
  <c r="Q17"/>
  <c r="AQ8"/>
  <c r="AH17"/>
  <c r="AG17"/>
  <c r="AW17" l="1"/>
  <c r="AV8"/>
  <c r="X15"/>
  <c r="X14"/>
  <c r="X12"/>
  <c r="X16"/>
  <c r="X11"/>
  <c r="X10"/>
  <c r="X9"/>
  <c r="X8"/>
  <c r="U15"/>
  <c r="U16"/>
  <c r="U14"/>
  <c r="U13"/>
  <c r="U12"/>
  <c r="J17"/>
  <c r="I17"/>
  <c r="H17"/>
  <c r="G17"/>
  <c r="E17" s="1"/>
  <c r="BB13" l="1"/>
  <c r="BB9"/>
  <c r="AV10"/>
  <c r="AV11"/>
  <c r="AV15"/>
  <c r="AV14"/>
  <c r="AZ9" l="1"/>
  <c r="R17"/>
  <c r="Y17"/>
  <c r="BB14" l="1"/>
  <c r="AZ14"/>
  <c r="AQ12" l="1"/>
  <c r="AZ22" i="6"/>
  <c r="AY22"/>
  <c r="AW22"/>
  <c r="AV22" s="1"/>
  <c r="AU22"/>
  <c r="AT22"/>
  <c r="AR22" s="1"/>
  <c r="AS22"/>
  <c r="AQ22"/>
  <c r="AP22"/>
  <c r="AO22"/>
  <c r="AM22" s="1"/>
  <c r="AN22"/>
  <c r="AL22"/>
  <c r="AK22"/>
  <c r="AJ22"/>
  <c r="AI22"/>
  <c r="AH22"/>
  <c r="AG22"/>
  <c r="AE22" s="1"/>
  <c r="AF22"/>
  <c r="AD22"/>
  <c r="AC22"/>
  <c r="AA22" s="1"/>
  <c r="AB22"/>
  <c r="Z22"/>
  <c r="X22"/>
  <c r="V22" s="1"/>
  <c r="T22"/>
  <c r="S22"/>
  <c r="R22"/>
  <c r="Q22"/>
  <c r="P22"/>
  <c r="O22"/>
  <c r="M22"/>
  <c r="L22"/>
  <c r="K22"/>
  <c r="I22"/>
  <c r="H22"/>
  <c r="G22"/>
  <c r="F22"/>
  <c r="AX21"/>
  <c r="AV21"/>
  <c r="AR21"/>
  <c r="AM21"/>
  <c r="AE21"/>
  <c r="AA21"/>
  <c r="V21"/>
  <c r="N21"/>
  <c r="E21"/>
  <c r="AX20"/>
  <c r="AV20"/>
  <c r="AR20"/>
  <c r="AM20"/>
  <c r="AE20"/>
  <c r="AA20"/>
  <c r="V20"/>
  <c r="N20"/>
  <c r="E20"/>
  <c r="D20" s="1"/>
  <c r="AX19"/>
  <c r="AV19"/>
  <c r="AR19"/>
  <c r="AM19"/>
  <c r="AE19"/>
  <c r="AA19"/>
  <c r="V19"/>
  <c r="N19"/>
  <c r="E19"/>
  <c r="AX18"/>
  <c r="AV18"/>
  <c r="AR18"/>
  <c r="AM18"/>
  <c r="AE18"/>
  <c r="AA18"/>
  <c r="V18"/>
  <c r="N18"/>
  <c r="E18"/>
  <c r="AX17"/>
  <c r="AV17"/>
  <c r="AR17"/>
  <c r="AM17"/>
  <c r="AE17"/>
  <c r="AA17"/>
  <c r="V17"/>
  <c r="N17"/>
  <c r="E17"/>
  <c r="AX16"/>
  <c r="AV16"/>
  <c r="AR16"/>
  <c r="AM16"/>
  <c r="AE16"/>
  <c r="AA16"/>
  <c r="N16"/>
  <c r="E16"/>
  <c r="AX15"/>
  <c r="AV15"/>
  <c r="AR15"/>
  <c r="AM15"/>
  <c r="AE15"/>
  <c r="AA15"/>
  <c r="N15"/>
  <c r="E15"/>
  <c r="AX14"/>
  <c r="AV14"/>
  <c r="AR14"/>
  <c r="AM14"/>
  <c r="AE14"/>
  <c r="AA14"/>
  <c r="V14"/>
  <c r="N14"/>
  <c r="E14"/>
  <c r="D14" s="1"/>
  <c r="AX13"/>
  <c r="AV13"/>
  <c r="AM13"/>
  <c r="AE13"/>
  <c r="AA13"/>
  <c r="N13"/>
  <c r="E13"/>
  <c r="D20" i="4"/>
  <c r="D19"/>
  <c r="D18"/>
  <c r="D17"/>
  <c r="D16"/>
  <c r="D15"/>
  <c r="D14"/>
  <c r="D13"/>
  <c r="D12"/>
  <c r="BB15" i="2"/>
  <c r="BB12"/>
  <c r="AZ15"/>
  <c r="AZ16"/>
  <c r="AZ13"/>
  <c r="AZ12"/>
  <c r="AZ11"/>
  <c r="AZ10"/>
  <c r="AZ8"/>
  <c r="AV16"/>
  <c r="AU17"/>
  <c r="AT17"/>
  <c r="AQ17" s="1"/>
  <c r="D17" s="1"/>
  <c r="AS17"/>
  <c r="AR17"/>
  <c r="AQ15"/>
  <c r="D15" s="1"/>
  <c r="AQ16"/>
  <c r="AQ14"/>
  <c r="D14" s="1"/>
  <c r="AQ11"/>
  <c r="AQ10"/>
  <c r="AQ9"/>
  <c r="AF17"/>
  <c r="AE17"/>
  <c r="AD17"/>
  <c r="Z17"/>
  <c r="X17" s="1"/>
  <c r="S17"/>
  <c r="M17" s="1"/>
  <c r="D13" i="6" l="1"/>
  <c r="D16"/>
  <c r="D17"/>
  <c r="D21"/>
  <c r="N22"/>
  <c r="D19"/>
  <c r="D15"/>
  <c r="D18"/>
  <c r="E22"/>
  <c r="D22" s="1"/>
  <c r="AX22"/>
</calcChain>
</file>

<file path=xl/comments1.xml><?xml version="1.0" encoding="utf-8"?>
<comments xmlns="http://schemas.openxmlformats.org/spreadsheetml/2006/main">
  <authors>
    <author>Автор</author>
  </authors>
  <commentList>
    <comment ref="D1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проверить формулу
</t>
        </r>
      </text>
    </comment>
    <comment ref="G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полугодовой
</t>
        </r>
      </text>
    </comment>
    <comment ref="H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полугодовой
</t>
        </r>
      </text>
    </comment>
    <comment ref="I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ГРБС, кот не устан муниципальн задание показатель не рассчитывается
</t>
        </r>
      </text>
    </comment>
    <comment ref="M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полугодовой
</t>
        </r>
      </text>
    </comment>
    <comment ref="Q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ГРБС , не имеющ подведомственной сети- 
 показатель  пропорционально
</t>
        </r>
      </text>
    </comment>
    <comment ref="S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ГРБС, не имеющих подведомств сети,  показатель пропорционально
</t>
        </r>
      </text>
    </comment>
    <comment ref="U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ГРБС, не имеющих подведомств сети,  показатель пропорционально
</t>
        </r>
      </text>
    </comment>
    <comment ref="X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ГРБС не глав администратор дрходов, показатель пропорционально
</t>
        </r>
      </text>
    </comment>
    <comment ref="AK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ГРБС не имеющ подведомствен сети, показатель пропорционально</t>
        </r>
      </text>
    </comment>
    <comment ref="AP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ГРБС не имеющих казенных вес показателя 
пропорционально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проверить формулу
</t>
        </r>
      </text>
    </comment>
    <comment ref="G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полугодовой
</t>
        </r>
      </text>
    </comment>
    <comment ref="H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полугодовой
</t>
        </r>
      </text>
    </comment>
    <comment ref="K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ГРБС, кот не устан муниципальн задание показатель не рассчитывается
</t>
        </r>
      </text>
    </comment>
    <comment ref="P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ГРБС , не имеющ подведомственной сети- 
 показатель  пропорционально
</t>
        </r>
      </text>
    </comment>
    <comment ref="R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ГРБС, не имеющих подведомств сети,  показатель пропорционально
</t>
        </r>
      </text>
    </comment>
    <comment ref="T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ГРБС, не имеющих подведомств сети,  показатель пропорционально
</t>
        </r>
      </text>
    </comment>
    <comment ref="AG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ГРБС не имеющ подведомствен сети, показатель пропорционально</t>
        </r>
      </text>
    </comment>
    <comment ref="AT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ГРБС не имеющих казенных вес показателя 
пропорционально</t>
        </r>
      </text>
    </comment>
  </commentList>
</comments>
</file>

<file path=xl/sharedStrings.xml><?xml version="1.0" encoding="utf-8"?>
<sst xmlns="http://schemas.openxmlformats.org/spreadsheetml/2006/main" count="427" uniqueCount="107">
  <si>
    <t>к Положению об организации проведения</t>
  </si>
  <si>
    <t>мониторинга качества финансового менеджмента,</t>
  </si>
  <si>
    <t>осуществляемого главными распорядителями</t>
  </si>
  <si>
    <t>средств бюджета Белокалитвинского района</t>
  </si>
  <si>
    <t>х</t>
  </si>
  <si>
    <t>Наименование главного распорядителя средств бюджета Белокалитвинского района</t>
  </si>
  <si>
    <t>Код главы</t>
  </si>
  <si>
    <t>место</t>
  </si>
  <si>
    <t>Общая оценка в баллах</t>
  </si>
  <si>
    <t>Наименование показателя оценки</t>
  </si>
  <si>
    <t>1.1.</t>
  </si>
  <si>
    <t>1.2.</t>
  </si>
  <si>
    <t>1.3.</t>
  </si>
  <si>
    <t>1.Собрание  депутатов Администрации Белокалитвинского района</t>
  </si>
  <si>
    <t>2.Администрация  Белокалитвинского района</t>
  </si>
  <si>
    <t>3.Финансовое управление Администрации Белокалитвинского района</t>
  </si>
  <si>
    <t>Средний итог оценки:</t>
  </si>
  <si>
    <t>1.4.</t>
  </si>
  <si>
    <t>1.6.</t>
  </si>
  <si>
    <t>2.1.</t>
  </si>
  <si>
    <t>2.2.</t>
  </si>
  <si>
    <t>2.3.</t>
  </si>
  <si>
    <t>2.4.</t>
  </si>
  <si>
    <t>2.5.</t>
  </si>
  <si>
    <t>2.6.</t>
  </si>
  <si>
    <t>4.1.</t>
  </si>
  <si>
    <t>4.2.</t>
  </si>
  <si>
    <t>4.3.</t>
  </si>
  <si>
    <t>5.1.</t>
  </si>
  <si>
    <t>5.2.</t>
  </si>
  <si>
    <t>5.3.</t>
  </si>
  <si>
    <t>5.4.</t>
  </si>
  <si>
    <t>6.1.</t>
  </si>
  <si>
    <t>6.2.</t>
  </si>
  <si>
    <t>6.3.</t>
  </si>
  <si>
    <t>6.4.</t>
  </si>
  <si>
    <t>Таблица № 1</t>
  </si>
  <si>
    <t>к Приложению № 2</t>
  </si>
  <si>
    <t>Мониторинг качества финансового менеджмента по главным распорядителям средств бюджета Белокалитвинского района в части документов, используемых при составлении проекта решения о бюджете Белокалитвинского района</t>
  </si>
  <si>
    <t>1.Своевременность представления планового реестра расходных обязательств</t>
  </si>
  <si>
    <t>2.Полнота общей информации о расходных обязательствах</t>
  </si>
  <si>
    <t>3.Полнота отражения в плановом реестре расходных обязательств ГРБС бюджетных ассигнований, предусмотренных ГРБС проектом бюджета района на очередной финансовый год и среднесрочным финансовым планом Белокалитвинского района на плановый период</t>
  </si>
  <si>
    <t>4.Своевременность предоставления докладов о результатах и основных направлениях деятельности</t>
  </si>
  <si>
    <t>5.Охват в докладах о результатах и основных направлениях деятельности расчета планового объема бюджетных ассигнований на основании Методики о порядке планирования бюджетных ассигнований бюджета Белокалитвинского  района и среднесрочного финансового плана</t>
  </si>
  <si>
    <t>1.Собрание депутатов Белокалитвинского района</t>
  </si>
  <si>
    <t>x</t>
  </si>
  <si>
    <t>2.Администрация Белокалитвинского района</t>
  </si>
  <si>
    <t>4.Муниципальное учреждение здравоохранения «Центральная районная больница» Белокалитвинского  района Ростовской области</t>
  </si>
  <si>
    <t>5.Отдел культуры Администрации Белокалитвинского района</t>
  </si>
  <si>
    <t>6.Отдел образования Администрации  Белокалитвинского района</t>
  </si>
  <si>
    <t>7.Управление социальной защиты населения Администрации Белокалитвинского района</t>
  </si>
  <si>
    <t>8.Отдел записи актов гражданского состояния Администрации Белокалитвинского района</t>
  </si>
  <si>
    <t>Среднесрочное финансовое планирование</t>
  </si>
  <si>
    <t>Исполнение бюджета в части расходов</t>
  </si>
  <si>
    <t>Учет и отчетность</t>
  </si>
  <si>
    <t>Контроль и аудит</t>
  </si>
  <si>
    <t>Исполнение судебных актов</t>
  </si>
  <si>
    <t>Кадровый потенциал финансового (финансово-экономического) подразделения ГРБС</t>
  </si>
  <si>
    <t>9.Комитет по управлению имуществом Администрации Белокалитвинского  района</t>
  </si>
  <si>
    <t>1.5.</t>
  </si>
  <si>
    <t>Х</t>
  </si>
  <si>
    <t>Мониторинг качества финансового менеджмента по главным распорядителям средств бюджета Белокалитвинского района в части документов, используемых при составлении проекта решения о бюджете Белокалитвинского района за 2011 год</t>
  </si>
  <si>
    <t>2.7.</t>
  </si>
  <si>
    <t>Исполнение бюжета по доходам</t>
  </si>
  <si>
    <t>5.5.</t>
  </si>
  <si>
    <t>5.6.</t>
  </si>
  <si>
    <t>7.1.</t>
  </si>
  <si>
    <t>7.2.</t>
  </si>
  <si>
    <t>7.3.</t>
  </si>
  <si>
    <t>8.1.</t>
  </si>
  <si>
    <t>Управление активами</t>
  </si>
  <si>
    <t>1.5.1.</t>
  </si>
  <si>
    <t>1.5.2.</t>
  </si>
  <si>
    <t>3.1.1.</t>
  </si>
  <si>
    <t>3.1.2.</t>
  </si>
  <si>
    <t>3.2.</t>
  </si>
  <si>
    <t>5.7.</t>
  </si>
  <si>
    <t>9.1.</t>
  </si>
  <si>
    <t>9.2.</t>
  </si>
  <si>
    <t>3.1.</t>
  </si>
  <si>
    <t>4.Финансовое управление Администрации Белокалитвинского района</t>
  </si>
  <si>
    <t>5.Отдел культуры Администрации Белокалитвинского  района</t>
  </si>
  <si>
    <t>6.Отдел образования Администрации Белокалитвинского района</t>
  </si>
  <si>
    <t>7.Управление социальной защиты населения Администрации Белокалитвинского  района</t>
  </si>
  <si>
    <t>8.Отдел записи актов гражданского состояния Администрации Белокалитвинского  района</t>
  </si>
  <si>
    <t>X</t>
  </si>
  <si>
    <t>качество управления средствами, федерального, областного бюджетов в части целевых межбюджетных трансфертов, а также деятельностью бюджетных и автономных учреждений</t>
  </si>
  <si>
    <r>
      <t xml:space="preserve">Результаты </t>
    </r>
    <r>
      <rPr>
        <b/>
        <u/>
        <sz val="14"/>
        <color theme="1"/>
        <rFont val="Times New Roman"/>
        <family val="1"/>
        <charset val="204"/>
      </rPr>
      <t>годового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(полугодового)</t>
    </r>
    <r>
      <rPr>
        <b/>
        <sz val="14"/>
        <color theme="1"/>
        <rFont val="Times New Roman"/>
        <family val="1"/>
        <charset val="204"/>
      </rPr>
      <t xml:space="preserve"> мониторинга качества финансового менеджмента </t>
    </r>
  </si>
  <si>
    <t>3. Контрольно-счётная инспекция Белокалитвинского района</t>
  </si>
  <si>
    <t>2.Своевременность предоставления докладов о результатах и основных направлениях деятельности</t>
  </si>
  <si>
    <t xml:space="preserve">3.Охват в докладах о результатах и основных направлениях деятельности расчета планового объема бюджетных ассигнований на основании Методики о порядке планирования бюджетных ассигнований бюджета Белокалитвинского  района </t>
  </si>
  <si>
    <t>по главным распорядителям средств бюджета Белокалитвинского района за 2016 год</t>
  </si>
  <si>
    <t>Исполнение бюджета по доходам</t>
  </si>
  <si>
    <t>1.3.1</t>
  </si>
  <si>
    <t>1.3.2</t>
  </si>
  <si>
    <r>
      <t xml:space="preserve">Расчет результатов </t>
    </r>
    <r>
      <rPr>
        <b/>
        <u/>
        <sz val="14"/>
        <color theme="1"/>
        <rFont val="Times New Roman"/>
        <family val="1"/>
        <charset val="204"/>
      </rPr>
      <t xml:space="preserve">годового </t>
    </r>
    <r>
      <rPr>
        <b/>
        <sz val="14"/>
        <color theme="1"/>
        <rFont val="Times New Roman"/>
        <family val="1"/>
        <charset val="204"/>
      </rPr>
      <t xml:space="preserve">мониторинга качества финансового менеджмента </t>
    </r>
  </si>
  <si>
    <t>8.Комитет по управлению имуществом Администрации Белокалитвинского  района</t>
  </si>
  <si>
    <t>9.Отдел записи актов гражданского состояния Администрации Белокалитвинского  района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</si>
  <si>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</si>
  <si>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</si>
  <si>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</si>
  <si>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</si>
  <si>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</si>
  <si>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</si>
  <si>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</si>
  <si>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</si>
  <si>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по главным распорядителям средств бюджета Белокалитвинского района за 2022 год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</si>
</sst>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66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Alignment="1">
      <alignment horizontal="right"/>
    </xf>
    <xf numFmtId="0" fontId="3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2" borderId="0" xfId="0" applyFont="1" applyFill="1" applyBorder="1" applyAlignment="1">
      <alignment horizontal="right" vertical="top" wrapText="1"/>
    </xf>
    <xf numFmtId="0" fontId="0" fillId="0" borderId="0" xfId="0" applyBorder="1"/>
    <xf numFmtId="0" fontId="3" fillId="0" borderId="2" xfId="0" applyFont="1" applyBorder="1" applyAlignment="1">
      <alignment vertical="top" wrapText="1"/>
    </xf>
    <xf numFmtId="0" fontId="0" fillId="2" borderId="0" xfId="0" applyFill="1"/>
    <xf numFmtId="0" fontId="3" fillId="0" borderId="6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0" xfId="0" applyFill="1"/>
    <xf numFmtId="0" fontId="1" fillId="0" borderId="0" xfId="0" applyFont="1" applyFill="1" applyAlignment="1">
      <alignment horizontal="right"/>
    </xf>
    <xf numFmtId="0" fontId="3" fillId="0" borderId="2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0" xfId="0" applyFont="1" applyFill="1"/>
    <xf numFmtId="0" fontId="1" fillId="0" borderId="0" xfId="0" applyFont="1" applyFill="1"/>
    <xf numFmtId="2" fontId="2" fillId="0" borderId="8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65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/>
    </xf>
    <xf numFmtId="10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0" fontId="2" fillId="0" borderId="0" xfId="0" applyNumberFormat="1" applyFont="1" applyFill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0" fontId="2" fillId="0" borderId="0" xfId="0" applyNumberFormat="1" applyFont="1" applyFill="1" applyBorder="1"/>
    <xf numFmtId="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vertical="top"/>
    </xf>
    <xf numFmtId="0" fontId="2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 vertical="top"/>
    </xf>
    <xf numFmtId="0" fontId="2" fillId="3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2" borderId="10" xfId="0" applyFont="1" applyFill="1" applyBorder="1" applyAlignment="1">
      <alignment horizontal="right" vertical="top" wrapText="1"/>
    </xf>
    <xf numFmtId="0" fontId="2" fillId="2" borderId="0" xfId="0" applyFont="1" applyFill="1" applyBorder="1"/>
    <xf numFmtId="0" fontId="2" fillId="2" borderId="0" xfId="0" applyFont="1" applyFill="1"/>
    <xf numFmtId="0" fontId="2" fillId="2" borderId="10" xfId="0" applyFont="1" applyFill="1" applyBorder="1" applyAlignment="1">
      <alignment horizontal="center"/>
    </xf>
    <xf numFmtId="165" fontId="6" fillId="2" borderId="1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1" fillId="2" borderId="0" xfId="0" applyFont="1" applyFill="1"/>
    <xf numFmtId="10" fontId="2" fillId="2" borderId="10" xfId="0" applyNumberFormat="1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9" fontId="6" fillId="2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165" fontId="6" fillId="4" borderId="10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center"/>
    </xf>
    <xf numFmtId="10" fontId="6" fillId="2" borderId="11" xfId="0" applyNumberFormat="1" applyFont="1" applyFill="1" applyBorder="1" applyAlignment="1">
      <alignment horizontal="center" vertical="center" wrapText="1"/>
    </xf>
    <xf numFmtId="10" fontId="6" fillId="2" borderId="1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2" fontId="15" fillId="0" borderId="0" xfId="0" applyNumberFormat="1" applyFont="1" applyFill="1" applyAlignment="1">
      <alignment horizontal="center"/>
    </xf>
    <xf numFmtId="9" fontId="2" fillId="0" borderId="0" xfId="0" applyNumberFormat="1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8"/>
  <sheetViews>
    <sheetView view="pageBreakPreview" zoomScale="80" zoomScaleSheetLayoutView="80" workbookViewId="0">
      <selection activeCell="A16" sqref="A16:XFD16"/>
    </sheetView>
  </sheetViews>
  <sheetFormatPr defaultRowHeight="15"/>
  <cols>
    <col min="1" max="1" width="53.7109375" style="17" customWidth="1"/>
    <col min="2" max="3" width="9.140625" style="17"/>
    <col min="4" max="4" width="12" style="17" bestFit="1" customWidth="1"/>
    <col min="5" max="5" width="12" style="28" customWidth="1"/>
    <col min="6" max="6" width="10.5703125" style="28" customWidth="1"/>
    <col min="7" max="7" width="11.140625" style="28" customWidth="1"/>
    <col min="8" max="9" width="10.42578125" style="28" customWidth="1"/>
    <col min="10" max="10" width="9.5703125" style="28" customWidth="1"/>
    <col min="11" max="12" width="11.5703125" style="28" customWidth="1"/>
    <col min="13" max="13" width="9.140625" style="28"/>
    <col min="14" max="14" width="11.28515625" style="28" customWidth="1"/>
    <col min="15" max="23" width="9.140625" style="28"/>
    <col min="24" max="25" width="11" style="28" customWidth="1"/>
    <col min="26" max="26" width="11.85546875" style="28" customWidth="1"/>
    <col min="27" max="27" width="11.28515625" style="28" customWidth="1"/>
    <col min="28" max="29" width="9.140625" style="28"/>
    <col min="30" max="30" width="7.5703125" style="28" customWidth="1"/>
    <col min="31" max="31" width="10.5703125" style="28" customWidth="1"/>
    <col min="32" max="38" width="9.140625" style="28"/>
    <col min="39" max="39" width="11.140625" style="17" customWidth="1"/>
    <col min="40" max="43" width="9.140625" style="17"/>
    <col min="44" max="44" width="10" style="17" customWidth="1"/>
    <col min="45" max="48" width="9.140625" style="17"/>
    <col min="49" max="49" width="13.140625" style="17" customWidth="1"/>
    <col min="50" max="50" width="9.140625" style="17"/>
    <col min="51" max="51" width="12.85546875" style="17" customWidth="1"/>
    <col min="52" max="52" width="13.28515625" style="17" customWidth="1"/>
    <col min="53" max="16384" width="9.140625" style="17"/>
  </cols>
  <sheetData>
    <row r="1" spans="1:54" ht="15.75" customHeight="1">
      <c r="J1" s="23"/>
      <c r="K1" s="23"/>
      <c r="L1" s="23"/>
    </row>
    <row r="2" spans="1:54" ht="15.75">
      <c r="J2" s="23"/>
      <c r="K2" s="23"/>
      <c r="L2" s="23"/>
    </row>
    <row r="3" spans="1:54" ht="15.75">
      <c r="A3" s="29"/>
      <c r="J3" s="23"/>
      <c r="K3" s="23"/>
      <c r="L3" s="23"/>
      <c r="V3" s="30"/>
      <c r="W3" s="30"/>
      <c r="X3" s="30"/>
      <c r="Y3" s="30"/>
      <c r="Z3" s="30"/>
      <c r="AA3" s="30"/>
    </row>
    <row r="4" spans="1:54" ht="15.75">
      <c r="J4" s="23"/>
      <c r="K4" s="23"/>
      <c r="L4" s="23"/>
    </row>
    <row r="5" spans="1:54" ht="15.75">
      <c r="J5" s="23"/>
      <c r="K5" s="23"/>
      <c r="L5" s="23"/>
    </row>
    <row r="6" spans="1:54" ht="15.75">
      <c r="A6" s="12"/>
    </row>
    <row r="7" spans="1:54" ht="18.75">
      <c r="A7" s="97" t="s">
        <v>87</v>
      </c>
      <c r="B7" s="97"/>
      <c r="C7" s="97"/>
      <c r="D7" s="97"/>
      <c r="E7" s="97"/>
      <c r="F7" s="97"/>
      <c r="G7" s="97"/>
      <c r="H7" s="97"/>
      <c r="I7" s="97"/>
      <c r="J7" s="97"/>
      <c r="K7" s="20"/>
      <c r="L7" s="20"/>
    </row>
    <row r="8" spans="1:54" ht="18.75">
      <c r="A8" s="97" t="s">
        <v>91</v>
      </c>
      <c r="B8" s="97"/>
      <c r="C8" s="97"/>
      <c r="D8" s="97"/>
      <c r="E8" s="97"/>
      <c r="F8" s="97"/>
      <c r="G8" s="97"/>
      <c r="H8" s="97"/>
      <c r="I8" s="97"/>
      <c r="J8" s="97"/>
      <c r="K8" s="20"/>
      <c r="L8" s="20"/>
    </row>
    <row r="9" spans="1:54" ht="19.5" thickBot="1">
      <c r="A9" s="54"/>
    </row>
    <row r="10" spans="1:54" ht="117.75" customHeight="1">
      <c r="A10" s="98" t="s">
        <v>5</v>
      </c>
      <c r="B10" s="98" t="s">
        <v>6</v>
      </c>
      <c r="C10" s="98" t="s">
        <v>7</v>
      </c>
      <c r="D10" s="101" t="s">
        <v>8</v>
      </c>
      <c r="E10" s="31"/>
      <c r="F10" s="104" t="s">
        <v>52</v>
      </c>
      <c r="G10" s="93"/>
      <c r="H10" s="93"/>
      <c r="I10" s="93"/>
      <c r="J10" s="93"/>
      <c r="K10" s="93"/>
      <c r="L10" s="93"/>
      <c r="M10" s="94"/>
      <c r="N10" s="31"/>
      <c r="O10" s="92" t="s">
        <v>53</v>
      </c>
      <c r="P10" s="93"/>
      <c r="Q10" s="93"/>
      <c r="R10" s="93"/>
      <c r="S10" s="93"/>
      <c r="T10" s="93"/>
      <c r="U10" s="94"/>
      <c r="V10" s="31"/>
      <c r="W10" s="32"/>
      <c r="X10" s="92" t="s">
        <v>63</v>
      </c>
      <c r="Y10" s="95"/>
      <c r="Z10" s="96"/>
      <c r="AA10" s="31"/>
      <c r="AB10" s="92" t="s">
        <v>54</v>
      </c>
      <c r="AC10" s="93"/>
      <c r="AD10" s="94"/>
      <c r="AE10" s="31"/>
      <c r="AF10" s="92" t="s">
        <v>55</v>
      </c>
      <c r="AG10" s="93"/>
      <c r="AH10" s="93"/>
      <c r="AI10" s="93"/>
      <c r="AJ10" s="93"/>
      <c r="AK10" s="93"/>
      <c r="AL10" s="94"/>
      <c r="AM10" s="31"/>
      <c r="AN10" s="92" t="s">
        <v>56</v>
      </c>
      <c r="AO10" s="93"/>
      <c r="AP10" s="93"/>
      <c r="AQ10" s="94"/>
      <c r="AR10" s="31"/>
      <c r="AS10" s="92" t="s">
        <v>57</v>
      </c>
      <c r="AT10" s="93"/>
      <c r="AU10" s="93"/>
      <c r="AV10" s="31"/>
      <c r="AW10" s="53" t="s">
        <v>70</v>
      </c>
      <c r="AX10" s="37"/>
      <c r="AY10" s="90" t="s">
        <v>86</v>
      </c>
      <c r="AZ10" s="91"/>
      <c r="BA10" s="33"/>
      <c r="BB10" s="33"/>
    </row>
    <row r="11" spans="1:54">
      <c r="A11" s="99"/>
      <c r="B11" s="99"/>
      <c r="C11" s="99"/>
      <c r="D11" s="102"/>
      <c r="E11" s="44">
        <v>1</v>
      </c>
      <c r="F11" s="45" t="s">
        <v>10</v>
      </c>
      <c r="G11" s="46" t="s">
        <v>11</v>
      </c>
      <c r="H11" s="46" t="s">
        <v>12</v>
      </c>
      <c r="I11" s="47" t="s">
        <v>17</v>
      </c>
      <c r="J11" s="45" t="s">
        <v>59</v>
      </c>
      <c r="K11" s="45" t="s">
        <v>71</v>
      </c>
      <c r="L11" s="45" t="s">
        <v>72</v>
      </c>
      <c r="M11" s="48" t="s">
        <v>18</v>
      </c>
      <c r="N11" s="45">
        <v>2</v>
      </c>
      <c r="O11" s="45" t="s">
        <v>19</v>
      </c>
      <c r="P11" s="45" t="s">
        <v>20</v>
      </c>
      <c r="Q11" s="47" t="s">
        <v>21</v>
      </c>
      <c r="R11" s="45" t="s">
        <v>22</v>
      </c>
      <c r="S11" s="47" t="s">
        <v>23</v>
      </c>
      <c r="T11" s="45" t="s">
        <v>24</v>
      </c>
      <c r="U11" s="47" t="s">
        <v>62</v>
      </c>
      <c r="V11" s="45">
        <v>3</v>
      </c>
      <c r="W11" s="45" t="s">
        <v>79</v>
      </c>
      <c r="X11" s="47" t="s">
        <v>73</v>
      </c>
      <c r="Y11" s="47" t="s">
        <v>74</v>
      </c>
      <c r="Z11" s="47" t="s">
        <v>75</v>
      </c>
      <c r="AA11" s="45">
        <v>4</v>
      </c>
      <c r="AB11" s="45" t="s">
        <v>25</v>
      </c>
      <c r="AC11" s="45" t="s">
        <v>26</v>
      </c>
      <c r="AD11" s="45" t="s">
        <v>27</v>
      </c>
      <c r="AE11" s="45">
        <v>5</v>
      </c>
      <c r="AF11" s="45" t="s">
        <v>28</v>
      </c>
      <c r="AG11" s="45" t="s">
        <v>29</v>
      </c>
      <c r="AH11" s="45" t="s">
        <v>30</v>
      </c>
      <c r="AI11" s="45" t="s">
        <v>31</v>
      </c>
      <c r="AJ11" s="45" t="s">
        <v>64</v>
      </c>
      <c r="AK11" s="47" t="s">
        <v>65</v>
      </c>
      <c r="AL11" s="47" t="s">
        <v>76</v>
      </c>
      <c r="AM11" s="49">
        <v>6</v>
      </c>
      <c r="AN11" s="49" t="s">
        <v>32</v>
      </c>
      <c r="AO11" s="49" t="s">
        <v>33</v>
      </c>
      <c r="AP11" s="50" t="s">
        <v>34</v>
      </c>
      <c r="AQ11" s="49" t="s">
        <v>35</v>
      </c>
      <c r="AR11" s="49">
        <v>7</v>
      </c>
      <c r="AS11" s="49" t="s">
        <v>66</v>
      </c>
      <c r="AT11" s="49" t="s">
        <v>67</v>
      </c>
      <c r="AU11" s="49" t="s">
        <v>68</v>
      </c>
      <c r="AV11" s="49">
        <v>8</v>
      </c>
      <c r="AW11" s="49" t="s">
        <v>69</v>
      </c>
      <c r="AX11" s="34">
        <v>9</v>
      </c>
      <c r="AY11" s="35" t="s">
        <v>77</v>
      </c>
      <c r="AZ11" s="35" t="s">
        <v>78</v>
      </c>
      <c r="BA11" s="33"/>
      <c r="BB11" s="33"/>
    </row>
    <row r="12" spans="1:54" ht="22.5" customHeight="1" thickBot="1">
      <c r="A12" s="100"/>
      <c r="B12" s="100"/>
      <c r="C12" s="100"/>
      <c r="D12" s="103"/>
      <c r="E12" s="27">
        <v>0.15</v>
      </c>
      <c r="F12" s="27">
        <v>0.2</v>
      </c>
      <c r="G12" s="27">
        <v>0.2</v>
      </c>
      <c r="H12" s="27">
        <v>0.2</v>
      </c>
      <c r="I12" s="27">
        <v>0.15</v>
      </c>
      <c r="J12" s="27" t="s">
        <v>85</v>
      </c>
      <c r="K12" s="27">
        <v>0.08</v>
      </c>
      <c r="L12" s="27">
        <v>7.0000000000000007E-2</v>
      </c>
      <c r="M12" s="27">
        <v>0.1</v>
      </c>
      <c r="N12" s="27">
        <v>0.2</v>
      </c>
      <c r="O12" s="27">
        <v>0.15</v>
      </c>
      <c r="P12" s="27">
        <v>0.15</v>
      </c>
      <c r="Q12" s="27">
        <v>0.15</v>
      </c>
      <c r="R12" s="27">
        <v>0.15</v>
      </c>
      <c r="S12" s="27">
        <v>0.15</v>
      </c>
      <c r="T12" s="27">
        <v>0.1</v>
      </c>
      <c r="U12" s="27">
        <v>0.15</v>
      </c>
      <c r="V12" s="27">
        <v>7.0000000000000007E-2</v>
      </c>
      <c r="W12" s="27">
        <v>1</v>
      </c>
      <c r="X12" s="27">
        <v>0.5</v>
      </c>
      <c r="Y12" s="27">
        <v>0.5</v>
      </c>
      <c r="Z12" s="27">
        <v>0.5</v>
      </c>
      <c r="AA12" s="27">
        <v>0.15</v>
      </c>
      <c r="AB12" s="27">
        <v>0.2</v>
      </c>
      <c r="AC12" s="27">
        <v>0.4</v>
      </c>
      <c r="AD12" s="27">
        <v>0.2</v>
      </c>
      <c r="AE12" s="27">
        <v>0.15</v>
      </c>
      <c r="AF12" s="27">
        <v>0.1</v>
      </c>
      <c r="AG12" s="27">
        <v>0.1</v>
      </c>
      <c r="AH12" s="27">
        <v>0.15</v>
      </c>
      <c r="AI12" s="27">
        <v>0.15</v>
      </c>
      <c r="AJ12" s="27">
        <v>0.1</v>
      </c>
      <c r="AK12" s="27">
        <v>0.15</v>
      </c>
      <c r="AL12" s="27">
        <v>0.2</v>
      </c>
      <c r="AM12" s="27">
        <v>7.0000000000000007E-2</v>
      </c>
      <c r="AN12" s="27">
        <v>0.25</v>
      </c>
      <c r="AO12" s="27">
        <v>0.25</v>
      </c>
      <c r="AP12" s="27">
        <v>0.25</v>
      </c>
      <c r="AQ12" s="27">
        <v>0.25</v>
      </c>
      <c r="AR12" s="27">
        <v>7.0000000000000007E-2</v>
      </c>
      <c r="AS12" s="27">
        <v>0.4</v>
      </c>
      <c r="AT12" s="27">
        <v>0.3</v>
      </c>
      <c r="AU12" s="27">
        <v>0.3</v>
      </c>
      <c r="AV12" s="27">
        <v>7.0000000000000007E-2</v>
      </c>
      <c r="AW12" s="27">
        <v>1</v>
      </c>
      <c r="AX12" s="27">
        <v>7.0000000000000007E-2</v>
      </c>
      <c r="AY12" s="43">
        <v>0.5</v>
      </c>
      <c r="AZ12" s="43">
        <v>0.5</v>
      </c>
      <c r="BA12" s="33"/>
      <c r="BB12" s="33"/>
    </row>
    <row r="13" spans="1:54" ht="26.25" thickBot="1">
      <c r="A13" s="13" t="s">
        <v>13</v>
      </c>
      <c r="B13" s="14">
        <v>901</v>
      </c>
      <c r="C13" s="52">
        <v>8</v>
      </c>
      <c r="D13" s="19">
        <f>(E13*E12+N13*N12+AA13*AA12+AE13*AE12+AM13*AM12+AV13*AV12+AX13*AX12+14%/86%*68%)*100</f>
        <v>78.040355677154579</v>
      </c>
      <c r="E13" s="21">
        <f>F13*F12+G13*G12+M13*M12+50%/50%*50%</f>
        <v>1</v>
      </c>
      <c r="F13" s="21">
        <v>1</v>
      </c>
      <c r="G13" s="21">
        <v>1</v>
      </c>
      <c r="H13" s="21" t="s">
        <v>60</v>
      </c>
      <c r="I13" s="21" t="s">
        <v>60</v>
      </c>
      <c r="J13" s="21" t="s">
        <v>60</v>
      </c>
      <c r="K13" s="21" t="s">
        <v>60</v>
      </c>
      <c r="L13" s="21" t="s">
        <v>60</v>
      </c>
      <c r="M13" s="21">
        <v>1</v>
      </c>
      <c r="N13" s="21">
        <f>O13*O12+P13*P12+R13*R12+S13*S12+T13*T12+30%/70%*70%</f>
        <v>1</v>
      </c>
      <c r="O13" s="21">
        <v>1</v>
      </c>
      <c r="P13" s="21">
        <v>1</v>
      </c>
      <c r="Q13" s="21" t="s">
        <v>60</v>
      </c>
      <c r="R13" s="21">
        <v>1</v>
      </c>
      <c r="S13" s="21">
        <v>1</v>
      </c>
      <c r="T13" s="21">
        <v>1</v>
      </c>
      <c r="U13" s="21" t="s">
        <v>85</v>
      </c>
      <c r="V13" s="21" t="s">
        <v>60</v>
      </c>
      <c r="W13" s="21" t="s">
        <v>4</v>
      </c>
      <c r="X13" s="21" t="s">
        <v>60</v>
      </c>
      <c r="Y13" s="21" t="s">
        <v>60</v>
      </c>
      <c r="Z13" s="21" t="s">
        <v>60</v>
      </c>
      <c r="AA13" s="21">
        <f>AC13*AC12+AD13*AD12+30%/70%*70%</f>
        <v>0.90000000000000013</v>
      </c>
      <c r="AB13" s="21" t="s">
        <v>60</v>
      </c>
      <c r="AC13" s="21">
        <v>1</v>
      </c>
      <c r="AD13" s="21">
        <v>1</v>
      </c>
      <c r="AE13" s="21">
        <f>AF13*AF12+AG13*AG12+AH13*AH12+AI13*AI12+AJ13*AJ12+AK13*AK12+15%/85%*65%</f>
        <v>0.76470588235294124</v>
      </c>
      <c r="AF13" s="21">
        <v>1</v>
      </c>
      <c r="AG13" s="21">
        <v>0</v>
      </c>
      <c r="AH13" s="21">
        <v>1</v>
      </c>
      <c r="AI13" s="21">
        <v>1</v>
      </c>
      <c r="AJ13" s="21">
        <v>1</v>
      </c>
      <c r="AK13" s="21">
        <v>1</v>
      </c>
      <c r="AL13" s="21" t="s">
        <v>60</v>
      </c>
      <c r="AM13" s="21">
        <f>AN13*AN12+AO13*AO12+AP13*AP12+AQ13*AQ12</f>
        <v>1</v>
      </c>
      <c r="AN13" s="21">
        <v>1</v>
      </c>
      <c r="AO13" s="21">
        <v>1</v>
      </c>
      <c r="AP13" s="21">
        <v>1</v>
      </c>
      <c r="AQ13" s="21">
        <v>1</v>
      </c>
      <c r="AR13" s="21" t="s">
        <v>85</v>
      </c>
      <c r="AS13" s="21" t="s">
        <v>60</v>
      </c>
      <c r="AT13" s="21" t="s">
        <v>60</v>
      </c>
      <c r="AU13" s="21" t="s">
        <v>60</v>
      </c>
      <c r="AV13" s="21">
        <f>AW13*AW12</f>
        <v>0</v>
      </c>
      <c r="AW13" s="21">
        <v>0</v>
      </c>
      <c r="AX13" s="51">
        <f>AY13*AY12</f>
        <v>0</v>
      </c>
      <c r="AY13" s="21">
        <v>0</v>
      </c>
      <c r="AZ13" s="21" t="s">
        <v>60</v>
      </c>
      <c r="BA13" s="33"/>
      <c r="BB13" s="33"/>
    </row>
    <row r="14" spans="1:54" ht="22.5" customHeight="1" thickBot="1">
      <c r="A14" s="25" t="s">
        <v>14</v>
      </c>
      <c r="B14" s="14">
        <v>902</v>
      </c>
      <c r="C14" s="52">
        <v>9</v>
      </c>
      <c r="D14" s="19">
        <f>(E14*E12+N14*N12+V14*V12+AA14*AA12+AE14*AE12+AM14*AM12+AR14*AR12+AV14*AV12+AX14*AX12)*100</f>
        <v>77.150000000000006</v>
      </c>
      <c r="E14" s="21">
        <f>F14*F12+G14*G12+H14*H12+I14*I12+K14*K12+L14*L12+M14*M12</f>
        <v>0.90000000000000013</v>
      </c>
      <c r="F14" s="21">
        <v>1</v>
      </c>
      <c r="G14" s="21">
        <v>1</v>
      </c>
      <c r="H14" s="21">
        <v>1</v>
      </c>
      <c r="I14" s="21">
        <v>1</v>
      </c>
      <c r="J14" s="21" t="s">
        <v>60</v>
      </c>
      <c r="K14" s="21">
        <v>1</v>
      </c>
      <c r="L14" s="21">
        <v>1</v>
      </c>
      <c r="M14" s="21">
        <v>0</v>
      </c>
      <c r="N14" s="21">
        <f>O14*O12+P14*P12+Q14*Q12+R14*R12+S14*S12+T14*T12+30%/70%*70%</f>
        <v>1</v>
      </c>
      <c r="O14" s="21">
        <v>1</v>
      </c>
      <c r="P14" s="21">
        <v>1</v>
      </c>
      <c r="Q14" s="21">
        <v>1</v>
      </c>
      <c r="R14" s="21">
        <v>1</v>
      </c>
      <c r="S14" s="21">
        <v>0</v>
      </c>
      <c r="T14" s="21">
        <v>1</v>
      </c>
      <c r="U14" s="21" t="s">
        <v>85</v>
      </c>
      <c r="V14" s="21">
        <f>X14*X12+Z14*Z12</f>
        <v>0.5</v>
      </c>
      <c r="W14" s="21" t="s">
        <v>85</v>
      </c>
      <c r="X14" s="21">
        <v>1</v>
      </c>
      <c r="Y14" s="21" t="s">
        <v>85</v>
      </c>
      <c r="Z14" s="21">
        <v>0</v>
      </c>
      <c r="AA14" s="21">
        <f>AB14*AB12+AC14*AC12+AD14*AD12</f>
        <v>0.8</v>
      </c>
      <c r="AB14" s="21">
        <v>1</v>
      </c>
      <c r="AC14" s="21">
        <v>1</v>
      </c>
      <c r="AD14" s="21">
        <v>1</v>
      </c>
      <c r="AE14" s="21">
        <f>AF14*AF12+AG14*AG12+AH14*AH12+AI14*AI12+AJ14*AJ12+AK14*AK12+AL14*AL12</f>
        <v>0.85000000000000009</v>
      </c>
      <c r="AF14" s="21">
        <v>1</v>
      </c>
      <c r="AG14" s="21">
        <v>0</v>
      </c>
      <c r="AH14" s="21">
        <v>1</v>
      </c>
      <c r="AI14" s="21">
        <v>1</v>
      </c>
      <c r="AJ14" s="21">
        <v>1</v>
      </c>
      <c r="AK14" s="21">
        <v>1</v>
      </c>
      <c r="AL14" s="21">
        <v>1</v>
      </c>
      <c r="AM14" s="21">
        <f>AN14*AN12+AO14*AO12+AP14*AP12+AQ14*AQ12</f>
        <v>1</v>
      </c>
      <c r="AN14" s="21">
        <v>1</v>
      </c>
      <c r="AO14" s="21">
        <v>1</v>
      </c>
      <c r="AP14" s="21">
        <v>1</v>
      </c>
      <c r="AQ14" s="21">
        <v>1</v>
      </c>
      <c r="AR14" s="21">
        <f>AS14*AS12+AT14*AT12+AU14*AU12</f>
        <v>0.7</v>
      </c>
      <c r="AS14" s="21">
        <v>1</v>
      </c>
      <c r="AT14" s="21">
        <v>0</v>
      </c>
      <c r="AU14" s="21">
        <v>1</v>
      </c>
      <c r="AV14" s="21">
        <f>AW14*AW12</f>
        <v>0</v>
      </c>
      <c r="AW14" s="21">
        <v>0</v>
      </c>
      <c r="AX14" s="51">
        <f>AY14*AY12+AZ14*AZ12</f>
        <v>0.5</v>
      </c>
      <c r="AY14" s="21">
        <v>0</v>
      </c>
      <c r="AZ14" s="21">
        <v>1</v>
      </c>
    </row>
    <row r="15" spans="1:54" ht="22.5" customHeight="1" thickBot="1">
      <c r="A15" s="26" t="s">
        <v>88</v>
      </c>
      <c r="B15" s="14">
        <v>903</v>
      </c>
      <c r="C15" s="52">
        <v>3</v>
      </c>
      <c r="D15" s="19">
        <f>(E15*E12+N15*N12+AA15*AA12+AE15*AE12+AM15*AM12+AR15*AR12+AV15*AV12+AX15*AX12+7%/93%*77%)*100</f>
        <v>81.666287160025291</v>
      </c>
      <c r="E15" s="21">
        <f>F15*F12+G15*G12+M15*M12+50%/50%*40%</f>
        <v>0.8</v>
      </c>
      <c r="F15" s="21">
        <v>1</v>
      </c>
      <c r="G15" s="21">
        <v>1</v>
      </c>
      <c r="H15" s="21" t="s">
        <v>85</v>
      </c>
      <c r="I15" s="21" t="s">
        <v>60</v>
      </c>
      <c r="J15" s="21" t="s">
        <v>85</v>
      </c>
      <c r="K15" s="21" t="s">
        <v>60</v>
      </c>
      <c r="L15" s="21" t="s">
        <v>60</v>
      </c>
      <c r="M15" s="21">
        <v>0</v>
      </c>
      <c r="N15" s="21">
        <f>O15*O12+P15*P12+R15*R12+S15*S12+T15*T12+30%/70%*70%</f>
        <v>1</v>
      </c>
      <c r="O15" s="21">
        <v>1</v>
      </c>
      <c r="P15" s="21">
        <v>1</v>
      </c>
      <c r="Q15" s="21" t="s">
        <v>85</v>
      </c>
      <c r="R15" s="21">
        <v>1</v>
      </c>
      <c r="S15" s="21">
        <v>1</v>
      </c>
      <c r="T15" s="21">
        <v>1</v>
      </c>
      <c r="U15" s="21" t="s">
        <v>85</v>
      </c>
      <c r="V15" s="21" t="s">
        <v>85</v>
      </c>
      <c r="W15" s="21" t="s">
        <v>85</v>
      </c>
      <c r="X15" s="21" t="s">
        <v>85</v>
      </c>
      <c r="Y15" s="21" t="s">
        <v>85</v>
      </c>
      <c r="Z15" s="21" t="s">
        <v>85</v>
      </c>
      <c r="AA15" s="21">
        <f>AC15*AC12+AD15*AD12+30%/70%*70%</f>
        <v>0.90000000000000013</v>
      </c>
      <c r="AB15" s="21" t="s">
        <v>85</v>
      </c>
      <c r="AC15" s="21">
        <v>1</v>
      </c>
      <c r="AD15" s="21">
        <v>1</v>
      </c>
      <c r="AE15" s="21">
        <f>AF15*AF12+AG15*AG12+AH15*AH12+AI15*AI12+AJ15*AJ12+AK15*AK12+15%/85%*65%</f>
        <v>0.76470588235294124</v>
      </c>
      <c r="AF15" s="21">
        <v>1</v>
      </c>
      <c r="AG15" s="21">
        <v>0</v>
      </c>
      <c r="AH15" s="21">
        <v>1</v>
      </c>
      <c r="AI15" s="21">
        <v>1</v>
      </c>
      <c r="AJ15" s="21">
        <v>1</v>
      </c>
      <c r="AK15" s="21">
        <v>1</v>
      </c>
      <c r="AL15" s="21" t="s">
        <v>85</v>
      </c>
      <c r="AM15" s="21">
        <f>AN15*AN12+AO15*AO12+AP15*AP12+AQ15*AQ12</f>
        <v>1</v>
      </c>
      <c r="AN15" s="21">
        <v>1</v>
      </c>
      <c r="AO15" s="21">
        <v>1</v>
      </c>
      <c r="AP15" s="21">
        <v>1</v>
      </c>
      <c r="AQ15" s="21">
        <v>1</v>
      </c>
      <c r="AR15" s="21">
        <f>AS15*AS12+AT15*AT12+AU15*AU12</f>
        <v>0.7</v>
      </c>
      <c r="AS15" s="21">
        <v>1</v>
      </c>
      <c r="AT15" s="21">
        <v>0</v>
      </c>
      <c r="AU15" s="21">
        <v>1</v>
      </c>
      <c r="AV15" s="21">
        <f>AW15*AW12</f>
        <v>1</v>
      </c>
      <c r="AW15" s="21">
        <v>1</v>
      </c>
      <c r="AX15" s="51">
        <f>AY15*AY12</f>
        <v>0</v>
      </c>
      <c r="AY15" s="21">
        <v>0</v>
      </c>
      <c r="AZ15" s="21" t="s">
        <v>85</v>
      </c>
    </row>
    <row r="16" spans="1:54" ht="26.25" thickBot="1">
      <c r="A16" s="13" t="s">
        <v>80</v>
      </c>
      <c r="B16" s="14">
        <v>904</v>
      </c>
      <c r="C16" s="52">
        <v>4</v>
      </c>
      <c r="D16" s="19">
        <f>(E16*E12+N16*N12+AA16*AA12+AE16*AE12+AM16*AM12+AR16*AR12+AV16*AV12+AX16*AX12+7%/93%*77%)*100</f>
        <v>81.666287160025291</v>
      </c>
      <c r="E16" s="21">
        <f>F16*F12+G16*G12+M16*M12+50%/50%*40%</f>
        <v>0.8</v>
      </c>
      <c r="F16" s="21">
        <v>1</v>
      </c>
      <c r="G16" s="21">
        <v>1</v>
      </c>
      <c r="H16" s="21" t="s">
        <v>60</v>
      </c>
      <c r="I16" s="21" t="s">
        <v>60</v>
      </c>
      <c r="J16" s="21" t="s">
        <v>60</v>
      </c>
      <c r="K16" s="21" t="s">
        <v>60</v>
      </c>
      <c r="L16" s="21" t="s">
        <v>60</v>
      </c>
      <c r="M16" s="21">
        <v>0</v>
      </c>
      <c r="N16" s="21">
        <f>O16*O12+P16*P12+R16*R12+S16*S12+T16*T12+30%/70%*70%</f>
        <v>1</v>
      </c>
      <c r="O16" s="21">
        <v>1</v>
      </c>
      <c r="P16" s="21">
        <v>1</v>
      </c>
      <c r="Q16" s="21" t="s">
        <v>60</v>
      </c>
      <c r="R16" s="21">
        <v>1</v>
      </c>
      <c r="S16" s="21">
        <v>1</v>
      </c>
      <c r="T16" s="21">
        <v>1</v>
      </c>
      <c r="U16" s="21" t="s">
        <v>60</v>
      </c>
      <c r="V16" s="21" t="s">
        <v>60</v>
      </c>
      <c r="W16" s="21" t="s">
        <v>4</v>
      </c>
      <c r="X16" s="21" t="s">
        <v>60</v>
      </c>
      <c r="Y16" s="21" t="s">
        <v>60</v>
      </c>
      <c r="Z16" s="21" t="s">
        <v>60</v>
      </c>
      <c r="AA16" s="21">
        <f>AC16*AC12+AD16*AD12+30%/70%*70%</f>
        <v>0.90000000000000013</v>
      </c>
      <c r="AB16" s="21" t="s">
        <v>60</v>
      </c>
      <c r="AC16" s="21">
        <v>1</v>
      </c>
      <c r="AD16" s="21">
        <v>1</v>
      </c>
      <c r="AE16" s="21">
        <f>AF16*AF12+AG16*AG12+AH16*AH12+AI16*AI12+AJ16*AJ12+AK16*AK12+15%/85%*65%</f>
        <v>0.76470588235294124</v>
      </c>
      <c r="AF16" s="21">
        <v>1</v>
      </c>
      <c r="AG16" s="21">
        <v>0</v>
      </c>
      <c r="AH16" s="21">
        <v>1</v>
      </c>
      <c r="AI16" s="21">
        <v>1</v>
      </c>
      <c r="AJ16" s="21">
        <v>1</v>
      </c>
      <c r="AK16" s="21">
        <v>1</v>
      </c>
      <c r="AL16" s="21" t="s">
        <v>60</v>
      </c>
      <c r="AM16" s="21">
        <f>AN16*AN12+AO16*AO12+AP16*AP12+AQ16*AQ12</f>
        <v>1</v>
      </c>
      <c r="AN16" s="21">
        <v>1</v>
      </c>
      <c r="AO16" s="21">
        <v>1</v>
      </c>
      <c r="AP16" s="21">
        <v>1</v>
      </c>
      <c r="AQ16" s="21">
        <v>1</v>
      </c>
      <c r="AR16" s="21">
        <f>AS16*AS12+AT16*AT12+AU16*AU12</f>
        <v>0.7</v>
      </c>
      <c r="AS16" s="21">
        <v>1</v>
      </c>
      <c r="AT16" s="21">
        <v>0</v>
      </c>
      <c r="AU16" s="21">
        <v>1</v>
      </c>
      <c r="AV16" s="21">
        <f>AW16*AW12</f>
        <v>1</v>
      </c>
      <c r="AW16" s="21">
        <v>1</v>
      </c>
      <c r="AX16" s="51">
        <f>AY16*AY12</f>
        <v>0</v>
      </c>
      <c r="AY16" s="21">
        <v>0</v>
      </c>
      <c r="AZ16" s="21" t="s">
        <v>60</v>
      </c>
    </row>
    <row r="17" spans="1:52" ht="24.75" customHeight="1" thickBot="1">
      <c r="A17" s="13" t="s">
        <v>81</v>
      </c>
      <c r="B17" s="14">
        <v>906</v>
      </c>
      <c r="C17" s="52">
        <v>1</v>
      </c>
      <c r="D17" s="19">
        <f>(E17*E12+N17*N12+V17*V12+AA17*AA12+AE17*AE12+AM17*AM12+AR17*AR12+AV17*AV12+AX17*AX12)*100</f>
        <v>87.575000000000017</v>
      </c>
      <c r="E17" s="21">
        <f>F17*F12+G17*G12+H17*H12+I17*I12+K17*K12+L17*L12+M17*M12</f>
        <v>0.89500000000000002</v>
      </c>
      <c r="F17" s="21">
        <v>1</v>
      </c>
      <c r="G17" s="21">
        <v>1</v>
      </c>
      <c r="H17" s="21">
        <v>0.99</v>
      </c>
      <c r="I17" s="21">
        <v>0.98</v>
      </c>
      <c r="J17" s="21" t="s">
        <v>60</v>
      </c>
      <c r="K17" s="21">
        <v>1</v>
      </c>
      <c r="L17" s="21">
        <v>1</v>
      </c>
      <c r="M17" s="21">
        <v>0</v>
      </c>
      <c r="N17" s="21">
        <f>O17*O12+P17*P12+Q17*Q12+R17*R12+S17*S12+T17*T12+15%/85%*85%</f>
        <v>1</v>
      </c>
      <c r="O17" s="21">
        <v>1</v>
      </c>
      <c r="P17" s="21">
        <v>1</v>
      </c>
      <c r="Q17" s="21">
        <v>1</v>
      </c>
      <c r="R17" s="21">
        <v>1</v>
      </c>
      <c r="S17" s="21">
        <v>1</v>
      </c>
      <c r="T17" s="21">
        <v>1</v>
      </c>
      <c r="U17" s="21" t="s">
        <v>85</v>
      </c>
      <c r="V17" s="21">
        <f>X17*X12+Z17*Z12</f>
        <v>1</v>
      </c>
      <c r="W17" s="21" t="s">
        <v>85</v>
      </c>
      <c r="X17" s="21">
        <v>1</v>
      </c>
      <c r="Y17" s="21" t="s">
        <v>85</v>
      </c>
      <c r="Z17" s="21">
        <v>1</v>
      </c>
      <c r="AA17" s="21">
        <f>AB17*AB12+AC17*AC12+AD17*AD12</f>
        <v>0.8</v>
      </c>
      <c r="AB17" s="21">
        <v>1</v>
      </c>
      <c r="AC17" s="21">
        <v>1</v>
      </c>
      <c r="AD17" s="21">
        <v>1</v>
      </c>
      <c r="AE17" s="21">
        <f>AF17*AF12+AG17*AG12+AH17*AH12+AI17*AI12+AJ17*AJ12+AK17*AK12+AL17*AL12</f>
        <v>0.85000000000000009</v>
      </c>
      <c r="AF17" s="21">
        <v>1</v>
      </c>
      <c r="AG17" s="21">
        <v>0</v>
      </c>
      <c r="AH17" s="21">
        <v>1</v>
      </c>
      <c r="AI17" s="21">
        <v>1</v>
      </c>
      <c r="AJ17" s="21">
        <v>1</v>
      </c>
      <c r="AK17" s="21">
        <v>1</v>
      </c>
      <c r="AL17" s="21">
        <v>1</v>
      </c>
      <c r="AM17" s="21">
        <f>AN17*AN12+AO17*AO12+AP17*AP12+AQ17*AQ12</f>
        <v>1</v>
      </c>
      <c r="AN17" s="21">
        <v>1</v>
      </c>
      <c r="AO17" s="21">
        <v>1</v>
      </c>
      <c r="AP17" s="21">
        <v>1</v>
      </c>
      <c r="AQ17" s="21">
        <v>1</v>
      </c>
      <c r="AR17" s="21">
        <f>AS17*AS12+AT17*AT12+AU17*AU12</f>
        <v>0.7</v>
      </c>
      <c r="AS17" s="21">
        <v>1</v>
      </c>
      <c r="AT17" s="21">
        <v>0</v>
      </c>
      <c r="AU17" s="21">
        <v>1</v>
      </c>
      <c r="AV17" s="21">
        <f>AW17*AW12</f>
        <v>1</v>
      </c>
      <c r="AW17" s="21">
        <v>1</v>
      </c>
      <c r="AX17" s="51">
        <f>AY17*AY12+AZ17*AZ12</f>
        <v>0.5</v>
      </c>
      <c r="AY17" s="21">
        <v>0</v>
      </c>
      <c r="AZ17" s="21">
        <v>1</v>
      </c>
    </row>
    <row r="18" spans="1:52" ht="26.25" thickBot="1">
      <c r="A18" s="13" t="s">
        <v>82</v>
      </c>
      <c r="B18" s="14">
        <v>907</v>
      </c>
      <c r="C18" s="52">
        <v>7</v>
      </c>
      <c r="D18" s="19">
        <f>(E18*E12+N18*N12+V18*V12+AA18*AA12+AE18*AE12+AM18*AM12+AR18*AR12+AV18*AV12+AX18*AX12)*100</f>
        <v>77.819999999999993</v>
      </c>
      <c r="E18" s="21">
        <f>F18*F12+G18*G12+H18*H12+I18*I12+K18*K12+L18*L12+M18*M12</f>
        <v>0.89800000000000013</v>
      </c>
      <c r="F18" s="21">
        <v>1</v>
      </c>
      <c r="G18" s="21">
        <v>1</v>
      </c>
      <c r="H18" s="21">
        <v>0.99</v>
      </c>
      <c r="I18" s="21">
        <v>1</v>
      </c>
      <c r="J18" s="21" t="s">
        <v>60</v>
      </c>
      <c r="K18" s="21">
        <v>1</v>
      </c>
      <c r="L18" s="21">
        <v>1</v>
      </c>
      <c r="M18" s="21">
        <v>0</v>
      </c>
      <c r="N18" s="21">
        <f>O18*O12+P18*P12+Q18*Q12+R18*R12+S18*S12+T18*T12+15%/85%*85%</f>
        <v>1</v>
      </c>
      <c r="O18" s="21">
        <v>1</v>
      </c>
      <c r="P18" s="21">
        <v>1</v>
      </c>
      <c r="Q18" s="21">
        <v>1</v>
      </c>
      <c r="R18" s="21">
        <v>1</v>
      </c>
      <c r="S18" s="21">
        <v>1</v>
      </c>
      <c r="T18" s="21">
        <v>1</v>
      </c>
      <c r="U18" s="21" t="s">
        <v>85</v>
      </c>
      <c r="V18" s="21">
        <f>X18*X12+Z18*Z12</f>
        <v>1</v>
      </c>
      <c r="W18" s="21" t="s">
        <v>85</v>
      </c>
      <c r="X18" s="21">
        <v>1</v>
      </c>
      <c r="Y18" s="21" t="s">
        <v>85</v>
      </c>
      <c r="Z18" s="21">
        <v>1</v>
      </c>
      <c r="AA18" s="21">
        <f>AB18*AB12+AC18*AC12+AD18*AD12</f>
        <v>0.8</v>
      </c>
      <c r="AB18" s="21">
        <v>1</v>
      </c>
      <c r="AC18" s="21">
        <v>1</v>
      </c>
      <c r="AD18" s="21">
        <v>1</v>
      </c>
      <c r="AE18" s="21">
        <f>AF18*AF12+AG18*AG12+AH18*AH12+AI18*AI12+AJ18*AJ12+AK18*AK12+AL18*AL12</f>
        <v>0.85000000000000009</v>
      </c>
      <c r="AF18" s="21">
        <v>1</v>
      </c>
      <c r="AG18" s="21">
        <v>0</v>
      </c>
      <c r="AH18" s="21">
        <v>1</v>
      </c>
      <c r="AI18" s="21">
        <v>1</v>
      </c>
      <c r="AJ18" s="21">
        <v>1</v>
      </c>
      <c r="AK18" s="21">
        <v>1</v>
      </c>
      <c r="AL18" s="21">
        <v>1</v>
      </c>
      <c r="AM18" s="21">
        <f>AN18*AN12+AO18*AO12+AP18*AP12+AQ18*AQ12</f>
        <v>1</v>
      </c>
      <c r="AN18" s="21">
        <v>1</v>
      </c>
      <c r="AO18" s="21">
        <v>1</v>
      </c>
      <c r="AP18" s="21">
        <v>1</v>
      </c>
      <c r="AQ18" s="21">
        <v>1</v>
      </c>
      <c r="AR18" s="21">
        <f>AS18*AS12+AT18*AT12+AU18*AU12</f>
        <v>0.3</v>
      </c>
      <c r="AS18" s="21">
        <v>0</v>
      </c>
      <c r="AT18" s="21">
        <v>0</v>
      </c>
      <c r="AU18" s="21">
        <v>1</v>
      </c>
      <c r="AV18" s="21">
        <f>AW18*AW12</f>
        <v>0</v>
      </c>
      <c r="AW18" s="21">
        <v>0</v>
      </c>
      <c r="AX18" s="51">
        <f>AY18*AY12+AZ18*AZ12</f>
        <v>0.5</v>
      </c>
      <c r="AY18" s="21">
        <v>0</v>
      </c>
      <c r="AZ18" s="21">
        <v>1</v>
      </c>
    </row>
    <row r="19" spans="1:52" ht="26.25" thickBot="1">
      <c r="A19" s="13" t="s">
        <v>83</v>
      </c>
      <c r="B19" s="14">
        <v>913</v>
      </c>
      <c r="C19" s="52">
        <v>5</v>
      </c>
      <c r="D19" s="19">
        <f>(E19*E12+N19*N12+V19*V12+AA19*AA12+AE19*AE12+AM19*AM12+AR19*AR12+AV19*AV12+AX19*AX12)*100</f>
        <v>80.65000000000002</v>
      </c>
      <c r="E19" s="21">
        <f>F19*F12+G19*G12+H19*H12+I19*I12+K19*K12+L19*L12+M19*M12</f>
        <v>0.90000000000000013</v>
      </c>
      <c r="F19" s="21">
        <v>1</v>
      </c>
      <c r="G19" s="24">
        <v>1</v>
      </c>
      <c r="H19" s="21">
        <v>1</v>
      </c>
      <c r="I19" s="24">
        <v>1</v>
      </c>
      <c r="J19" s="21" t="s">
        <v>60</v>
      </c>
      <c r="K19" s="21">
        <v>1</v>
      </c>
      <c r="L19" s="21">
        <v>1</v>
      </c>
      <c r="M19" s="21">
        <v>0</v>
      </c>
      <c r="N19" s="21">
        <f>O19*O12+P19*P12+Q19*Q12+R19*R12+S19*S12+T19*T12+15%/85%*85%</f>
        <v>1</v>
      </c>
      <c r="O19" s="21">
        <v>1</v>
      </c>
      <c r="P19" s="21">
        <v>1</v>
      </c>
      <c r="Q19" s="21">
        <v>1</v>
      </c>
      <c r="R19" s="24">
        <v>1</v>
      </c>
      <c r="S19" s="21">
        <v>1</v>
      </c>
      <c r="T19" s="24">
        <v>1</v>
      </c>
      <c r="U19" s="24" t="s">
        <v>85</v>
      </c>
      <c r="V19" s="21">
        <f>X19*X12+Z19*Z12</f>
        <v>1</v>
      </c>
      <c r="W19" s="21" t="s">
        <v>85</v>
      </c>
      <c r="X19" s="21">
        <v>1</v>
      </c>
      <c r="Y19" s="24" t="s">
        <v>85</v>
      </c>
      <c r="Z19" s="21">
        <v>1</v>
      </c>
      <c r="AA19" s="21">
        <f>AB19*AB12+AC19*AC12+AD19*AD12</f>
        <v>0.8</v>
      </c>
      <c r="AB19" s="21">
        <v>1</v>
      </c>
      <c r="AC19" s="24">
        <v>1</v>
      </c>
      <c r="AD19" s="21">
        <v>1</v>
      </c>
      <c r="AE19" s="21">
        <f>AF19*AF12+AG19*AG12+AH19*AH12+AI19*AI12+AJ19*AJ12+AK19*AK12+AL19*AL12</f>
        <v>0.85000000000000009</v>
      </c>
      <c r="AF19" s="21">
        <v>1</v>
      </c>
      <c r="AG19" s="21">
        <v>0</v>
      </c>
      <c r="AH19" s="24">
        <v>1</v>
      </c>
      <c r="AI19" s="21">
        <v>1</v>
      </c>
      <c r="AJ19" s="21">
        <v>1</v>
      </c>
      <c r="AK19" s="21">
        <v>1</v>
      </c>
      <c r="AL19" s="21">
        <v>1</v>
      </c>
      <c r="AM19" s="21">
        <f>AN19*AN12+AO19*AO12+AP19*AP12+AQ19*AQ12</f>
        <v>1</v>
      </c>
      <c r="AN19" s="21">
        <v>1</v>
      </c>
      <c r="AO19" s="21">
        <v>1</v>
      </c>
      <c r="AP19" s="21">
        <v>1</v>
      </c>
      <c r="AQ19" s="21">
        <v>1</v>
      </c>
      <c r="AR19" s="21">
        <f>AS19*AS12+AT19*AT12+AU19*AU12</f>
        <v>0.7</v>
      </c>
      <c r="AS19" s="21">
        <v>1</v>
      </c>
      <c r="AT19" s="21">
        <v>0</v>
      </c>
      <c r="AU19" s="21">
        <v>1</v>
      </c>
      <c r="AV19" s="21">
        <f>AW19*AW12</f>
        <v>0</v>
      </c>
      <c r="AW19" s="21">
        <v>0</v>
      </c>
      <c r="AX19" s="51">
        <f>AY19*AY12+AZ19*AZ12</f>
        <v>0.5</v>
      </c>
      <c r="AY19" s="21">
        <v>0</v>
      </c>
      <c r="AZ19" s="21">
        <v>1</v>
      </c>
    </row>
    <row r="20" spans="1:52" ht="26.25" thickBot="1">
      <c r="A20" s="13" t="s">
        <v>84</v>
      </c>
      <c r="B20" s="14">
        <v>917</v>
      </c>
      <c r="C20" s="52">
        <v>2</v>
      </c>
      <c r="D20" s="19">
        <f>(E20*E12+N20*N12+V20*V12+AA20*AA12+AE20*AE12+AM20*AM12+AR20*AR12+AV20*AV12+AX20*AX12)*100</f>
        <v>82.900588235294137</v>
      </c>
      <c r="E20" s="21">
        <f>F20*F12+G20*G12+H20*H12+M20*M12+30%/70%*56%</f>
        <v>0.80200000000000005</v>
      </c>
      <c r="F20" s="21">
        <v>1</v>
      </c>
      <c r="G20" s="24">
        <v>1</v>
      </c>
      <c r="H20" s="24">
        <v>0.81</v>
      </c>
      <c r="I20" s="24" t="s">
        <v>60</v>
      </c>
      <c r="J20" s="21" t="s">
        <v>60</v>
      </c>
      <c r="K20" s="21" t="s">
        <v>60</v>
      </c>
      <c r="L20" s="21" t="s">
        <v>60</v>
      </c>
      <c r="M20" s="21">
        <v>0</v>
      </c>
      <c r="N20" s="21">
        <f>O20*O12+P20*P12+R20*R12+S20*S12+T20*T12+30%/70%*70%</f>
        <v>1</v>
      </c>
      <c r="O20" s="21">
        <v>1</v>
      </c>
      <c r="P20" s="21">
        <v>1</v>
      </c>
      <c r="Q20" s="21" t="s">
        <v>60</v>
      </c>
      <c r="R20" s="24">
        <v>1</v>
      </c>
      <c r="S20" s="21">
        <v>1</v>
      </c>
      <c r="T20" s="24">
        <v>1</v>
      </c>
      <c r="U20" s="24" t="s">
        <v>85</v>
      </c>
      <c r="V20" s="21">
        <f>X20*X12+Z20*Z12</f>
        <v>1</v>
      </c>
      <c r="W20" s="21" t="s">
        <v>85</v>
      </c>
      <c r="X20" s="21">
        <v>1</v>
      </c>
      <c r="Y20" s="21" t="s">
        <v>85</v>
      </c>
      <c r="Z20" s="21">
        <v>1</v>
      </c>
      <c r="AA20" s="21">
        <f>AC20*AC12+AD20*AD12+30%/70%*70%</f>
        <v>0.90000000000000013</v>
      </c>
      <c r="AB20" s="21" t="s">
        <v>60</v>
      </c>
      <c r="AC20" s="24">
        <v>1</v>
      </c>
      <c r="AD20" s="21">
        <v>1</v>
      </c>
      <c r="AE20" s="21">
        <f>AF20*AF12+AG20*AG12+AH20*AH12+AI20*AI12+AJ20*AJ12+AK20*AK12+15%/85%*65%</f>
        <v>0.76470588235294124</v>
      </c>
      <c r="AF20" s="21">
        <v>1</v>
      </c>
      <c r="AG20" s="21">
        <v>0</v>
      </c>
      <c r="AH20" s="24">
        <v>1</v>
      </c>
      <c r="AI20" s="21">
        <v>1</v>
      </c>
      <c r="AJ20" s="21">
        <v>1</v>
      </c>
      <c r="AK20" s="21">
        <v>1</v>
      </c>
      <c r="AL20" s="21" t="s">
        <v>60</v>
      </c>
      <c r="AM20" s="21">
        <f>AN20*AN12+AO20*AO12+AP20*AP12+AQ20*AQ12</f>
        <v>1</v>
      </c>
      <c r="AN20" s="21">
        <v>1</v>
      </c>
      <c r="AO20" s="21">
        <v>1</v>
      </c>
      <c r="AP20" s="21">
        <v>1</v>
      </c>
      <c r="AQ20" s="21">
        <v>1</v>
      </c>
      <c r="AR20" s="21">
        <f>AS20*AS12+AT20*AT12+AU20*AU12</f>
        <v>0.7</v>
      </c>
      <c r="AS20" s="21">
        <v>1</v>
      </c>
      <c r="AT20" s="21">
        <v>0</v>
      </c>
      <c r="AU20" s="21">
        <v>1</v>
      </c>
      <c r="AV20" s="21">
        <f>AW20*AW12</f>
        <v>1</v>
      </c>
      <c r="AW20" s="21">
        <v>1</v>
      </c>
      <c r="AX20" s="51">
        <f>AY20*AY12</f>
        <v>0</v>
      </c>
      <c r="AY20" s="21">
        <v>0</v>
      </c>
      <c r="AZ20" s="21" t="s">
        <v>60</v>
      </c>
    </row>
    <row r="21" spans="1:52" ht="26.25" thickBot="1">
      <c r="A21" s="13" t="s">
        <v>58</v>
      </c>
      <c r="B21" s="14">
        <v>914</v>
      </c>
      <c r="C21" s="52">
        <v>6</v>
      </c>
      <c r="D21" s="19">
        <f>(E21*E12+N21*N12+V21*V12+AA21*AA12+AE21*AE12+AM21*AM12+AR21*AR12+AV21*AV12+AX21*AX12)*100</f>
        <v>78.400000000000006</v>
      </c>
      <c r="E21" s="21">
        <f>F21*F12+G21*G12+H21*H12+I21*I12+K21*K12+L21*L12+M21*M12</f>
        <v>0.75</v>
      </c>
      <c r="F21" s="21">
        <v>1</v>
      </c>
      <c r="G21" s="21">
        <v>1</v>
      </c>
      <c r="H21" s="21">
        <v>1</v>
      </c>
      <c r="I21" s="21">
        <v>0</v>
      </c>
      <c r="J21" s="21" t="s">
        <v>60</v>
      </c>
      <c r="K21" s="21">
        <v>1</v>
      </c>
      <c r="L21" s="21">
        <v>1</v>
      </c>
      <c r="M21" s="21">
        <v>0</v>
      </c>
      <c r="N21" s="21">
        <f>O21*O12+P21*P12+Q21*Q12+R21*R12+S21*S12+T21*T12+15%/85%*85%</f>
        <v>1</v>
      </c>
      <c r="O21" s="21">
        <v>1</v>
      </c>
      <c r="P21" s="21">
        <v>1</v>
      </c>
      <c r="Q21" s="21">
        <v>1</v>
      </c>
      <c r="R21" s="21">
        <v>1</v>
      </c>
      <c r="S21" s="21">
        <v>1</v>
      </c>
      <c r="T21" s="21">
        <v>1</v>
      </c>
      <c r="U21" s="21" t="s">
        <v>85</v>
      </c>
      <c r="V21" s="21">
        <f>X21*X12+Z21*Z12</f>
        <v>1</v>
      </c>
      <c r="W21" s="21" t="s">
        <v>85</v>
      </c>
      <c r="X21" s="21">
        <v>1</v>
      </c>
      <c r="Y21" s="21" t="s">
        <v>85</v>
      </c>
      <c r="Z21" s="21">
        <v>1</v>
      </c>
      <c r="AA21" s="21">
        <f>AB21*AB12+AC21*AC12+AD21*AD12</f>
        <v>0.8</v>
      </c>
      <c r="AB21" s="21">
        <v>1</v>
      </c>
      <c r="AC21" s="21">
        <v>1</v>
      </c>
      <c r="AD21" s="21">
        <v>1</v>
      </c>
      <c r="AE21" s="21">
        <f>AF21*AF12+AG21*AG12+AH21*AH12+AI21*AI12+AJ21*AJ12+AK21*AK12+AL21*AL12</f>
        <v>0.85000000000000009</v>
      </c>
      <c r="AF21" s="21">
        <v>1</v>
      </c>
      <c r="AG21" s="21">
        <v>0</v>
      </c>
      <c r="AH21" s="21">
        <v>1</v>
      </c>
      <c r="AI21" s="21">
        <v>1</v>
      </c>
      <c r="AJ21" s="21">
        <v>1</v>
      </c>
      <c r="AK21" s="21">
        <v>1</v>
      </c>
      <c r="AL21" s="21">
        <v>1</v>
      </c>
      <c r="AM21" s="21">
        <f>AN21*AN12+AO21*AO12+AP21*AP12+AQ21*AQ12</f>
        <v>1</v>
      </c>
      <c r="AN21" s="21">
        <v>1</v>
      </c>
      <c r="AO21" s="21">
        <v>1</v>
      </c>
      <c r="AP21" s="21">
        <v>1</v>
      </c>
      <c r="AQ21" s="21">
        <v>1</v>
      </c>
      <c r="AR21" s="21">
        <f>AS21*AS12+AT21*AT12+AU21*AU12</f>
        <v>0.7</v>
      </c>
      <c r="AS21" s="21">
        <v>1</v>
      </c>
      <c r="AT21" s="21">
        <v>0</v>
      </c>
      <c r="AU21" s="21">
        <v>1</v>
      </c>
      <c r="AV21" s="21">
        <f>AW21*AW12</f>
        <v>0</v>
      </c>
      <c r="AW21" s="21">
        <v>0</v>
      </c>
      <c r="AX21" s="51">
        <f>AY21*AY12+AZ21*AZ12</f>
        <v>0.5</v>
      </c>
      <c r="AY21" s="21">
        <v>0</v>
      </c>
      <c r="AZ21" s="21">
        <v>1</v>
      </c>
    </row>
    <row r="22" spans="1:52" ht="15.75" thickBot="1">
      <c r="A22" s="15" t="s">
        <v>16</v>
      </c>
      <c r="B22" s="16" t="s">
        <v>4</v>
      </c>
      <c r="C22" s="16" t="s">
        <v>4</v>
      </c>
      <c r="D22" s="19">
        <f>(E22*E12+N22*N12+V22*V12+AA22*AA12+AE22*AE12+AM22*AM12+AR22*AR12+AV22*AV12+AX22*AX12)*100</f>
        <v>81.612951447245564</v>
      </c>
      <c r="E22" s="21">
        <f>F22*F12+G22*G12+H22*H12+I22*I12+K22*K12+L22*L12+M22*M12</f>
        <v>0.84593968253968255</v>
      </c>
      <c r="F22" s="21">
        <f>SUM(F13:F21)/9</f>
        <v>1</v>
      </c>
      <c r="G22" s="21">
        <f>SUM(G13:G21)/9</f>
        <v>1</v>
      </c>
      <c r="H22" s="21">
        <f>SUM(H13:H21)/7</f>
        <v>0.82714285714285718</v>
      </c>
      <c r="I22" s="21">
        <f>SUM(I13:I21)/5</f>
        <v>0.79600000000000004</v>
      </c>
      <c r="J22" s="21" t="s">
        <v>85</v>
      </c>
      <c r="K22" s="21">
        <f>SUM(K13:K21)/5</f>
        <v>1</v>
      </c>
      <c r="L22" s="21">
        <f>SUM(L13:L21)/5</f>
        <v>1</v>
      </c>
      <c r="M22" s="21">
        <f>SUM(M13:M21)/9</f>
        <v>0.1111111111111111</v>
      </c>
      <c r="N22" s="21">
        <f>O22*O12+P22*P12+Q22*Q12+R22*R12+S22*S12+T22*T12+15%/85%*83%</f>
        <v>0.97980392156862739</v>
      </c>
      <c r="O22" s="21">
        <f>SUM(O13:O21)/9</f>
        <v>1</v>
      </c>
      <c r="P22" s="21">
        <f>SUM(P13:P21)/9</f>
        <v>1</v>
      </c>
      <c r="Q22" s="21">
        <f>SUM(Q13:Q21)/5</f>
        <v>1</v>
      </c>
      <c r="R22" s="21">
        <f>SUM(R13:R21)/9</f>
        <v>1</v>
      </c>
      <c r="S22" s="21">
        <f>SUM(S13:S21)/9</f>
        <v>0.88888888888888884</v>
      </c>
      <c r="T22" s="21">
        <f>SUM(T13:T21)/9</f>
        <v>1</v>
      </c>
      <c r="U22" s="21" t="s">
        <v>85</v>
      </c>
      <c r="V22" s="21">
        <f>X22*X12+Z22*Z12</f>
        <v>0.91666666666666674</v>
      </c>
      <c r="W22" s="21" t="s">
        <v>85</v>
      </c>
      <c r="X22" s="21">
        <f>SUM(X13:X21)/6</f>
        <v>1</v>
      </c>
      <c r="Y22" s="21" t="s">
        <v>85</v>
      </c>
      <c r="Z22" s="21">
        <f t="shared" ref="Z22" si="0">SUM(Z13:Z21)/6</f>
        <v>0.83333333333333337</v>
      </c>
      <c r="AA22" s="21">
        <f>AB22*AB12+AC22*AC12+AD22*AD12</f>
        <v>0.8</v>
      </c>
      <c r="AB22" s="21">
        <f>SUM(AB13:AB21)/5</f>
        <v>1</v>
      </c>
      <c r="AC22" s="21">
        <f>SUM(AC13:AC21)/9</f>
        <v>1</v>
      </c>
      <c r="AD22" s="21">
        <f>SUM(AD13:AD21)/9</f>
        <v>1</v>
      </c>
      <c r="AE22" s="21">
        <f>AF22*AF12+AG22*AG12+AH22*AH12+AI22*AI12+AJ22*AJ12+AK22*AK12+AL22*AL12</f>
        <v>0.85000000000000009</v>
      </c>
      <c r="AF22" s="21">
        <f t="shared" ref="AF22:AK22" si="1">SUM(AF13:AF21)/9</f>
        <v>1</v>
      </c>
      <c r="AG22" s="21">
        <f t="shared" si="1"/>
        <v>0</v>
      </c>
      <c r="AH22" s="21">
        <f t="shared" si="1"/>
        <v>1</v>
      </c>
      <c r="AI22" s="21">
        <f t="shared" si="1"/>
        <v>1</v>
      </c>
      <c r="AJ22" s="21">
        <f t="shared" si="1"/>
        <v>1</v>
      </c>
      <c r="AK22" s="21">
        <f t="shared" si="1"/>
        <v>1</v>
      </c>
      <c r="AL22" s="21">
        <f>SUM(AL13:AL21)/5</f>
        <v>1</v>
      </c>
      <c r="AM22" s="21">
        <f>AN22*AN12+AO22*AO12+AP22*AP12+AQ22*AQ12</f>
        <v>1</v>
      </c>
      <c r="AN22" s="21">
        <f>SUM(AN13:AN21)/9</f>
        <v>1</v>
      </c>
      <c r="AO22" s="21">
        <f>SUM(AO13:AO21)/9</f>
        <v>1</v>
      </c>
      <c r="AP22" s="21">
        <f>SUM(AP13:AP21)/9</f>
        <v>1</v>
      </c>
      <c r="AQ22" s="21">
        <f>SUM(AQ13:AQ21)/9</f>
        <v>1</v>
      </c>
      <c r="AR22" s="21">
        <f>AS22*AS12+AT22*AT12+AU22*AU12</f>
        <v>0.65</v>
      </c>
      <c r="AS22" s="21">
        <f t="shared" ref="AS22:AU22" si="2">SUM(AS13:AS21)/8</f>
        <v>0.875</v>
      </c>
      <c r="AT22" s="21">
        <f t="shared" si="2"/>
        <v>0</v>
      </c>
      <c r="AU22" s="21">
        <f t="shared" si="2"/>
        <v>1</v>
      </c>
      <c r="AV22" s="21">
        <f>AW22*AW12</f>
        <v>0.44444444444444442</v>
      </c>
      <c r="AW22" s="21">
        <f>SUM(AW13:AW21)/9</f>
        <v>0.44444444444444442</v>
      </c>
      <c r="AX22" s="21">
        <f>AY22*AY12+AZ22*AZ12</f>
        <v>0.5</v>
      </c>
      <c r="AY22" s="21">
        <f t="shared" ref="AY22" si="3">SUM(AY13:AY21)/9</f>
        <v>0</v>
      </c>
      <c r="AZ22" s="21">
        <f>SUM(AZ13:AZ21)/5</f>
        <v>1</v>
      </c>
    </row>
    <row r="24" spans="1:52">
      <c r="F24" s="39"/>
      <c r="G24" s="39"/>
      <c r="H24" s="39"/>
      <c r="I24" s="39"/>
      <c r="J24" s="38"/>
      <c r="K24" s="38"/>
      <c r="L24" s="38"/>
      <c r="M24" s="39"/>
      <c r="N24" s="40"/>
      <c r="O24" s="36"/>
      <c r="P24" s="36"/>
      <c r="Q24" s="36"/>
      <c r="R24" s="22"/>
      <c r="S24" s="36"/>
      <c r="T24" s="36"/>
      <c r="U24" s="36"/>
      <c r="V24" s="41"/>
      <c r="W24" s="41"/>
      <c r="X24" s="41"/>
      <c r="Y24" s="41"/>
      <c r="Z24" s="41"/>
      <c r="AA24" s="36"/>
      <c r="AB24" s="40"/>
      <c r="AC24" s="40"/>
      <c r="AD24" s="40"/>
      <c r="AE24" s="41"/>
      <c r="AF24" s="40"/>
      <c r="AG24" s="40"/>
      <c r="AH24" s="40"/>
      <c r="AI24" s="40"/>
      <c r="AJ24" s="40"/>
      <c r="AK24" s="41"/>
      <c r="AL24" s="41"/>
      <c r="AM24" s="42"/>
      <c r="AN24" s="42"/>
      <c r="AO24" s="42"/>
      <c r="AP24" s="42"/>
      <c r="AQ24" s="42"/>
      <c r="AR24" s="33"/>
    </row>
    <row r="25" spans="1:52">
      <c r="F25" s="39"/>
      <c r="G25" s="39"/>
      <c r="H25" s="39"/>
      <c r="I25" s="39"/>
      <c r="J25" s="38"/>
      <c r="K25" s="38"/>
      <c r="L25" s="38"/>
      <c r="M25" s="39"/>
      <c r="N25" s="40"/>
      <c r="O25" s="36"/>
      <c r="P25" s="36"/>
      <c r="Q25" s="36"/>
      <c r="R25" s="22"/>
      <c r="S25" s="36"/>
      <c r="T25" s="22"/>
      <c r="U25" s="36"/>
      <c r="V25" s="41"/>
      <c r="W25" s="41"/>
      <c r="X25" s="41"/>
      <c r="Y25" s="41"/>
      <c r="Z25" s="41"/>
      <c r="AA25" s="36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33"/>
      <c r="AN25" s="42"/>
      <c r="AO25" s="33"/>
      <c r="AP25" s="33"/>
      <c r="AQ25" s="33"/>
      <c r="AR25" s="33"/>
    </row>
    <row r="28" spans="1:52" ht="15.75">
      <c r="A28" s="18"/>
    </row>
  </sheetData>
  <mergeCells count="14">
    <mergeCell ref="A7:J7"/>
    <mergeCell ref="A8:J8"/>
    <mergeCell ref="A10:A12"/>
    <mergeCell ref="B10:B12"/>
    <mergeCell ref="C10:C12"/>
    <mergeCell ref="D10:D12"/>
    <mergeCell ref="F10:M10"/>
    <mergeCell ref="AY10:AZ10"/>
    <mergeCell ref="O10:U10"/>
    <mergeCell ref="X10:Z10"/>
    <mergeCell ref="AB10:AD10"/>
    <mergeCell ref="AF10:AL10"/>
    <mergeCell ref="AN10:AQ10"/>
    <mergeCell ref="AS10:AU10"/>
  </mergeCells>
  <pageMargins left="0.70866141732283472" right="0.70866141732283472" top="0.74803149606299213" bottom="0.74803149606299213" header="0.31496062992125984" footer="0.31496062992125984"/>
  <pageSetup paperSize="9" scale="72" fitToWidth="67" fitToHeight="21" orientation="landscape" horizontalDpi="180" verticalDpi="180" r:id="rId1"/>
  <colBreaks count="3" manualBreakCount="3">
    <brk id="13" max="23" man="1"/>
    <brk id="29" max="23" man="1"/>
    <brk id="45" max="2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BF27"/>
  <sheetViews>
    <sheetView tabSelected="1" view="pageBreakPreview" zoomScale="80" zoomScaleSheetLayoutView="80" workbookViewId="0">
      <pane xSplit="1" topLeftCell="AD1" activePane="topRight" state="frozen"/>
      <selection activeCell="A10" sqref="A10"/>
      <selection pane="topRight" activeCell="AV8" sqref="AV8:BD17"/>
    </sheetView>
  </sheetViews>
  <sheetFormatPr defaultRowHeight="15"/>
  <cols>
    <col min="1" max="1" width="50.7109375" style="69" customWidth="1"/>
    <col min="2" max="3" width="9.140625" style="17"/>
    <col min="4" max="4" width="12" style="17" bestFit="1" customWidth="1"/>
    <col min="5" max="5" width="12" style="28" customWidth="1"/>
    <col min="6" max="6" width="10.5703125" style="28" customWidth="1"/>
    <col min="7" max="7" width="11.140625" style="28" customWidth="1"/>
    <col min="8" max="12" width="10.42578125" style="28" customWidth="1"/>
    <col min="13" max="13" width="11.28515625" style="28" customWidth="1"/>
    <col min="14" max="22" width="9.140625" style="28"/>
    <col min="23" max="23" width="11.85546875" style="28" customWidth="1"/>
    <col min="24" max="24" width="11.28515625" style="28" customWidth="1"/>
    <col min="25" max="26" width="9.140625" style="28"/>
    <col min="27" max="27" width="10.5703125" style="28" customWidth="1"/>
    <col min="28" max="42" width="9.140625" style="28"/>
    <col min="43" max="43" width="11.140625" style="17" customWidth="1"/>
    <col min="44" max="47" width="9.140625" style="17"/>
    <col min="48" max="48" width="10" style="17" customWidth="1"/>
    <col min="49" max="52" width="9.140625" style="17"/>
    <col min="53" max="53" width="13.140625" style="17" customWidth="1"/>
    <col min="54" max="54" width="9.140625" style="17"/>
    <col min="55" max="55" width="12.85546875" style="17" customWidth="1"/>
    <col min="56" max="56" width="13.28515625" style="17" customWidth="1"/>
    <col min="57" max="16384" width="9.140625" style="17"/>
  </cols>
  <sheetData>
    <row r="1" spans="1:58" ht="15.75">
      <c r="A1" s="72"/>
    </row>
    <row r="2" spans="1:58" ht="18.75">
      <c r="A2" s="97" t="s">
        <v>95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86"/>
    </row>
    <row r="3" spans="1:58" ht="18.75">
      <c r="A3" s="97" t="s">
        <v>106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86"/>
    </row>
    <row r="4" spans="1:58" ht="19.5" thickBot="1">
      <c r="A4" s="73"/>
    </row>
    <row r="5" spans="1:58" s="69" customFormat="1" ht="117.75" customHeight="1">
      <c r="A5" s="112" t="s">
        <v>5</v>
      </c>
      <c r="B5" s="112" t="s">
        <v>6</v>
      </c>
      <c r="C5" s="112" t="s">
        <v>7</v>
      </c>
      <c r="D5" s="115" t="s">
        <v>8</v>
      </c>
      <c r="E5" s="75"/>
      <c r="F5" s="118" t="s">
        <v>52</v>
      </c>
      <c r="G5" s="110"/>
      <c r="H5" s="110"/>
      <c r="I5" s="110"/>
      <c r="J5" s="110"/>
      <c r="K5" s="110"/>
      <c r="L5" s="87"/>
      <c r="M5" s="75"/>
      <c r="N5" s="105" t="s">
        <v>53</v>
      </c>
      <c r="O5" s="110"/>
      <c r="P5" s="110"/>
      <c r="Q5" s="110"/>
      <c r="R5" s="110"/>
      <c r="S5" s="110"/>
      <c r="T5" s="111"/>
      <c r="U5" s="75"/>
      <c r="V5" s="119" t="s">
        <v>92</v>
      </c>
      <c r="W5" s="120"/>
      <c r="X5" s="75"/>
      <c r="Y5" s="105" t="s">
        <v>54</v>
      </c>
      <c r="Z5" s="110"/>
      <c r="AA5" s="75"/>
      <c r="AB5" s="105" t="s">
        <v>55</v>
      </c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7"/>
      <c r="AQ5" s="105" t="s">
        <v>56</v>
      </c>
      <c r="AR5" s="106"/>
      <c r="AS5" s="106"/>
      <c r="AT5" s="106"/>
      <c r="AU5" s="107"/>
      <c r="AV5" s="75"/>
      <c r="AW5" s="105" t="s">
        <v>57</v>
      </c>
      <c r="AX5" s="110"/>
      <c r="AY5" s="110"/>
      <c r="AZ5" s="105" t="s">
        <v>70</v>
      </c>
      <c r="BA5" s="107"/>
      <c r="BB5" s="76"/>
      <c r="BC5" s="108" t="s">
        <v>86</v>
      </c>
      <c r="BD5" s="109"/>
      <c r="BE5" s="68"/>
      <c r="BF5" s="68"/>
    </row>
    <row r="6" spans="1:58" s="69" customFormat="1">
      <c r="A6" s="113"/>
      <c r="B6" s="113"/>
      <c r="C6" s="113"/>
      <c r="D6" s="116"/>
      <c r="E6" s="77">
        <v>1</v>
      </c>
      <c r="F6" s="78" t="s">
        <v>10</v>
      </c>
      <c r="G6" s="79" t="s">
        <v>11</v>
      </c>
      <c r="H6" s="79" t="s">
        <v>12</v>
      </c>
      <c r="I6" s="80" t="s">
        <v>93</v>
      </c>
      <c r="J6" s="80" t="s">
        <v>94</v>
      </c>
      <c r="K6" s="81" t="s">
        <v>17</v>
      </c>
      <c r="L6" s="81" t="s">
        <v>59</v>
      </c>
      <c r="M6" s="78">
        <v>2</v>
      </c>
      <c r="N6" s="78" t="s">
        <v>19</v>
      </c>
      <c r="O6" s="78" t="s">
        <v>20</v>
      </c>
      <c r="P6" s="81" t="s">
        <v>21</v>
      </c>
      <c r="Q6" s="78" t="s">
        <v>22</v>
      </c>
      <c r="R6" s="81" t="s">
        <v>23</v>
      </c>
      <c r="S6" s="78" t="s">
        <v>24</v>
      </c>
      <c r="T6" s="81" t="s">
        <v>62</v>
      </c>
      <c r="U6" s="78">
        <v>3</v>
      </c>
      <c r="V6" s="78" t="s">
        <v>79</v>
      </c>
      <c r="W6" s="81" t="s">
        <v>75</v>
      </c>
      <c r="X6" s="78">
        <v>4</v>
      </c>
      <c r="Y6" s="78" t="s">
        <v>25</v>
      </c>
      <c r="Z6" s="78" t="s">
        <v>26</v>
      </c>
      <c r="AA6" s="78">
        <v>5</v>
      </c>
      <c r="AB6" s="78" t="s">
        <v>28</v>
      </c>
      <c r="AC6" s="78" t="s">
        <v>29</v>
      </c>
      <c r="AD6" s="78" t="s">
        <v>30</v>
      </c>
      <c r="AE6" s="78" t="s">
        <v>31</v>
      </c>
      <c r="AF6" s="78" t="s">
        <v>64</v>
      </c>
      <c r="AG6" s="81" t="s">
        <v>65</v>
      </c>
      <c r="AH6" s="81" t="s">
        <v>76</v>
      </c>
      <c r="AI6" s="81" t="s">
        <v>98</v>
      </c>
      <c r="AJ6" s="81" t="s">
        <v>99</v>
      </c>
      <c r="AK6" s="81" t="s">
        <v>100</v>
      </c>
      <c r="AL6" s="81" t="s">
        <v>101</v>
      </c>
      <c r="AM6" s="81" t="s">
        <v>102</v>
      </c>
      <c r="AN6" s="81" t="s">
        <v>103</v>
      </c>
      <c r="AO6" s="81" t="s">
        <v>104</v>
      </c>
      <c r="AP6" s="81" t="s">
        <v>105</v>
      </c>
      <c r="AQ6" s="82">
        <v>6</v>
      </c>
      <c r="AR6" s="82" t="s">
        <v>32</v>
      </c>
      <c r="AS6" s="82" t="s">
        <v>33</v>
      </c>
      <c r="AT6" s="83" t="s">
        <v>34</v>
      </c>
      <c r="AU6" s="82" t="s">
        <v>35</v>
      </c>
      <c r="AV6" s="82">
        <v>7</v>
      </c>
      <c r="AW6" s="82" t="s">
        <v>66</v>
      </c>
      <c r="AX6" s="82" t="s">
        <v>67</v>
      </c>
      <c r="AY6" s="82" t="s">
        <v>68</v>
      </c>
      <c r="AZ6" s="82">
        <v>8</v>
      </c>
      <c r="BA6" s="82" t="s">
        <v>69</v>
      </c>
      <c r="BB6" s="70">
        <v>9</v>
      </c>
      <c r="BC6" s="84" t="s">
        <v>77</v>
      </c>
      <c r="BD6" s="84" t="s">
        <v>78</v>
      </c>
      <c r="BE6" s="68"/>
      <c r="BF6" s="68"/>
    </row>
    <row r="7" spans="1:58" s="69" customFormat="1" ht="22.5" customHeight="1" thickBot="1">
      <c r="A7" s="114"/>
      <c r="B7" s="114"/>
      <c r="C7" s="114"/>
      <c r="D7" s="117"/>
      <c r="E7" s="71">
        <v>0.15</v>
      </c>
      <c r="F7" s="89" t="s">
        <v>60</v>
      </c>
      <c r="G7" s="71">
        <v>0.3</v>
      </c>
      <c r="H7" s="71">
        <v>0.25</v>
      </c>
      <c r="I7" s="71">
        <v>0.15</v>
      </c>
      <c r="J7" s="71">
        <v>0.1</v>
      </c>
      <c r="K7" s="71">
        <v>0.15</v>
      </c>
      <c r="L7" s="71">
        <v>0.3</v>
      </c>
      <c r="M7" s="71">
        <v>0.2</v>
      </c>
      <c r="N7" s="71">
        <v>0.15</v>
      </c>
      <c r="O7" s="71">
        <v>0.15</v>
      </c>
      <c r="P7" s="71">
        <v>0.15</v>
      </c>
      <c r="Q7" s="71">
        <v>0.15</v>
      </c>
      <c r="R7" s="71">
        <v>0.15</v>
      </c>
      <c r="S7" s="71">
        <v>0.1</v>
      </c>
      <c r="T7" s="71">
        <v>0.15</v>
      </c>
      <c r="U7" s="71">
        <v>7.0000000000000007E-2</v>
      </c>
      <c r="V7" s="71">
        <v>0.5</v>
      </c>
      <c r="W7" s="71">
        <v>0.5</v>
      </c>
      <c r="X7" s="88">
        <v>0.15</v>
      </c>
      <c r="Y7" s="88">
        <v>0.5</v>
      </c>
      <c r="Z7" s="88">
        <v>0.5</v>
      </c>
      <c r="AA7" s="71">
        <v>0.15</v>
      </c>
      <c r="AB7" s="89" t="s">
        <v>60</v>
      </c>
      <c r="AC7" s="89" t="s">
        <v>60</v>
      </c>
      <c r="AD7" s="71">
        <v>0.08</v>
      </c>
      <c r="AE7" s="71">
        <v>0.08</v>
      </c>
      <c r="AF7" s="71">
        <v>7.0000000000000007E-2</v>
      </c>
      <c r="AG7" s="71">
        <v>0.1</v>
      </c>
      <c r="AH7" s="71">
        <v>0.1</v>
      </c>
      <c r="AI7" s="71" t="s">
        <v>60</v>
      </c>
      <c r="AJ7" s="71" t="s">
        <v>60</v>
      </c>
      <c r="AK7" s="71" t="s">
        <v>60</v>
      </c>
      <c r="AL7" s="71" t="s">
        <v>60</v>
      </c>
      <c r="AM7" s="71" t="s">
        <v>60</v>
      </c>
      <c r="AN7" s="71">
        <v>0.08</v>
      </c>
      <c r="AO7" s="71">
        <v>0.04</v>
      </c>
      <c r="AP7" s="71">
        <v>0.03</v>
      </c>
      <c r="AQ7" s="71">
        <v>7.0000000000000007E-2</v>
      </c>
      <c r="AR7" s="71">
        <v>0.25</v>
      </c>
      <c r="AS7" s="71">
        <v>0.25</v>
      </c>
      <c r="AT7" s="71">
        <v>0.25</v>
      </c>
      <c r="AU7" s="71">
        <v>0.25</v>
      </c>
      <c r="AV7" s="71">
        <v>7.0000000000000007E-2</v>
      </c>
      <c r="AW7" s="71">
        <v>0.4</v>
      </c>
      <c r="AX7" s="71">
        <v>0.3</v>
      </c>
      <c r="AY7" s="71">
        <v>0.3</v>
      </c>
      <c r="AZ7" s="71">
        <v>7.0000000000000007E-2</v>
      </c>
      <c r="BA7" s="71">
        <v>1</v>
      </c>
      <c r="BB7" s="71">
        <v>7.0000000000000007E-2</v>
      </c>
      <c r="BC7" s="85">
        <v>0.5</v>
      </c>
      <c r="BD7" s="85">
        <v>0.5</v>
      </c>
      <c r="BE7" s="68"/>
      <c r="BF7" s="68"/>
    </row>
    <row r="8" spans="1:58" ht="26.25" thickBot="1">
      <c r="A8" s="13" t="s">
        <v>13</v>
      </c>
      <c r="B8" s="132">
        <v>901</v>
      </c>
      <c r="C8" s="52">
        <v>2</v>
      </c>
      <c r="D8" s="133">
        <f>(E8*E7+M8*M7+X8*X7+AA8*AA7+AQ8*AQ7+AV8*AV7+AZ8*AZ7+14%/86*83.9)*100</f>
        <v>97.558139534883722</v>
      </c>
      <c r="E8" s="21">
        <f>G8*G7+L8*L7+40%</f>
        <v>1</v>
      </c>
      <c r="F8" s="21" t="s">
        <v>60</v>
      </c>
      <c r="G8" s="21">
        <v>1</v>
      </c>
      <c r="H8" s="21" t="s">
        <v>60</v>
      </c>
      <c r="I8" s="21" t="s">
        <v>60</v>
      </c>
      <c r="J8" s="21" t="s">
        <v>60</v>
      </c>
      <c r="K8" s="21" t="s">
        <v>60</v>
      </c>
      <c r="L8" s="21">
        <v>1</v>
      </c>
      <c r="M8" s="21">
        <f>N8*N7+O8*O7+Q8*Q7+R8*R7+S8*S7+T8*T7+P7</f>
        <v>1</v>
      </c>
      <c r="N8" s="21">
        <v>1</v>
      </c>
      <c r="O8" s="21">
        <v>1</v>
      </c>
      <c r="P8" s="21" t="s">
        <v>60</v>
      </c>
      <c r="Q8" s="21">
        <v>1</v>
      </c>
      <c r="R8" s="21">
        <v>1</v>
      </c>
      <c r="S8" s="21">
        <v>1</v>
      </c>
      <c r="T8" s="21">
        <v>1</v>
      </c>
      <c r="U8" s="21" t="s">
        <v>60</v>
      </c>
      <c r="V8" s="21" t="s">
        <v>60</v>
      </c>
      <c r="W8" s="21" t="s">
        <v>60</v>
      </c>
      <c r="X8" s="21">
        <f>Z8*Z7+50%/50%*50%</f>
        <v>1</v>
      </c>
      <c r="Y8" s="21" t="s">
        <v>60</v>
      </c>
      <c r="Z8" s="21">
        <v>1</v>
      </c>
      <c r="AA8" s="21">
        <f>(AD8*AD7+AE8*AE7+AF8*AF7+AG8*AG7+AH8*AH7+AN8*AN7+AO8*AO7+AP8*AP7)+42%</f>
        <v>1</v>
      </c>
      <c r="AB8" s="21" t="s">
        <v>60</v>
      </c>
      <c r="AC8" s="21" t="s">
        <v>60</v>
      </c>
      <c r="AD8" s="21">
        <v>1</v>
      </c>
      <c r="AE8" s="21">
        <v>1</v>
      </c>
      <c r="AF8" s="21">
        <v>1</v>
      </c>
      <c r="AG8" s="21">
        <v>1</v>
      </c>
      <c r="AH8" s="21">
        <v>1</v>
      </c>
      <c r="AI8" s="21" t="s">
        <v>60</v>
      </c>
      <c r="AJ8" s="21" t="s">
        <v>60</v>
      </c>
      <c r="AK8" s="21" t="s">
        <v>60</v>
      </c>
      <c r="AL8" s="21" t="s">
        <v>60</v>
      </c>
      <c r="AM8" s="21" t="s">
        <v>60</v>
      </c>
      <c r="AN8" s="21">
        <v>1</v>
      </c>
      <c r="AO8" s="21">
        <v>1</v>
      </c>
      <c r="AP8" s="21">
        <v>1</v>
      </c>
      <c r="AQ8" s="21">
        <f>AR8*AR7+AS8*AS7+AT8*AT7+AU8*AU7</f>
        <v>1</v>
      </c>
      <c r="AR8" s="21">
        <v>1</v>
      </c>
      <c r="AS8" s="21">
        <v>1</v>
      </c>
      <c r="AT8" s="21">
        <v>1</v>
      </c>
      <c r="AU8" s="21">
        <v>1</v>
      </c>
      <c r="AV8" s="21">
        <f>AW8*AW7+AX8*AX7+AY8*AY7</f>
        <v>0.7</v>
      </c>
      <c r="AW8" s="21">
        <v>1</v>
      </c>
      <c r="AX8" s="21">
        <v>0</v>
      </c>
      <c r="AY8" s="21">
        <v>1</v>
      </c>
      <c r="AZ8" s="21">
        <f>BA8*BA7</f>
        <v>1</v>
      </c>
      <c r="BA8" s="21">
        <v>1</v>
      </c>
      <c r="BB8" s="51" t="s">
        <v>60</v>
      </c>
      <c r="BC8" s="21" t="s">
        <v>60</v>
      </c>
      <c r="BD8" s="21" t="s">
        <v>60</v>
      </c>
      <c r="BE8" s="33"/>
      <c r="BF8" s="33"/>
    </row>
    <row r="9" spans="1:58" ht="22.5" customHeight="1" thickBot="1">
      <c r="A9" s="25" t="s">
        <v>14</v>
      </c>
      <c r="B9" s="132">
        <v>902</v>
      </c>
      <c r="C9" s="52">
        <v>7</v>
      </c>
      <c r="D9" s="133">
        <f>(E9*E7+M9*M7+U9*U7+X9*X7+AA9*AA7+AQ9*AQ7+AV9*AV7+AZ9*AZ7+BB9*BB7)*100</f>
        <v>85.720000000000013</v>
      </c>
      <c r="E9" s="21">
        <f>(G9*G7+H9*H7+K9*K7+L9*L7)</f>
        <v>0.55000000000000004</v>
      </c>
      <c r="F9" s="21" t="s">
        <v>60</v>
      </c>
      <c r="G9" s="21">
        <v>1</v>
      </c>
      <c r="H9" s="21">
        <v>1</v>
      </c>
      <c r="I9" s="21">
        <v>1</v>
      </c>
      <c r="J9" s="21">
        <v>1</v>
      </c>
      <c r="K9" s="134">
        <v>0</v>
      </c>
      <c r="L9" s="134">
        <v>0</v>
      </c>
      <c r="M9" s="21">
        <f>(N9*N7+O9*O7+P9*P7+Q9*Q7+R9*R7+S9*S7+T9*T7)</f>
        <v>0.88600000000000001</v>
      </c>
      <c r="N9" s="21">
        <v>1</v>
      </c>
      <c r="O9" s="134">
        <v>0.24</v>
      </c>
      <c r="P9" s="21">
        <v>1</v>
      </c>
      <c r="Q9" s="21">
        <v>1</v>
      </c>
      <c r="R9" s="21">
        <v>1</v>
      </c>
      <c r="S9" s="21">
        <v>1</v>
      </c>
      <c r="T9" s="21">
        <v>1</v>
      </c>
      <c r="U9" s="21">
        <f>W9*W7+50%/50%*50%</f>
        <v>0.5</v>
      </c>
      <c r="V9" s="21" t="s">
        <v>85</v>
      </c>
      <c r="W9" s="21">
        <v>0</v>
      </c>
      <c r="X9" s="21">
        <f>Y9*Y7+Z9*Z7</f>
        <v>1</v>
      </c>
      <c r="Y9" s="21">
        <v>1</v>
      </c>
      <c r="Z9" s="21">
        <v>1</v>
      </c>
      <c r="AA9" s="21">
        <f>(AD9*AD7+AE9*AE7+AF9*AF7+AG9*AG7+AH9*AH7+AN9*AN7+AO9*AO7+AP9*AP7)+42%</f>
        <v>1</v>
      </c>
      <c r="AB9" s="21" t="s">
        <v>60</v>
      </c>
      <c r="AC9" s="21" t="s">
        <v>60</v>
      </c>
      <c r="AD9" s="21">
        <v>1</v>
      </c>
      <c r="AE9" s="21">
        <v>1</v>
      </c>
      <c r="AF9" s="21">
        <v>1</v>
      </c>
      <c r="AG9" s="21">
        <v>1</v>
      </c>
      <c r="AH9" s="21">
        <v>1</v>
      </c>
      <c r="AI9" s="21" t="s">
        <v>60</v>
      </c>
      <c r="AJ9" s="21" t="s">
        <v>60</v>
      </c>
      <c r="AK9" s="21" t="s">
        <v>60</v>
      </c>
      <c r="AL9" s="21" t="s">
        <v>60</v>
      </c>
      <c r="AM9" s="21" t="s">
        <v>60</v>
      </c>
      <c r="AN9" s="21">
        <v>1</v>
      </c>
      <c r="AO9" s="21">
        <v>1</v>
      </c>
      <c r="AP9" s="21">
        <v>1</v>
      </c>
      <c r="AQ9" s="21">
        <f>AR9*AR7+AS9*AS7+AT9*AT7+AU9*AU7</f>
        <v>0.75</v>
      </c>
      <c r="AR9" s="21">
        <v>0</v>
      </c>
      <c r="AS9" s="21">
        <v>1</v>
      </c>
      <c r="AT9" s="21">
        <v>1</v>
      </c>
      <c r="AU9" s="21">
        <v>1</v>
      </c>
      <c r="AV9" s="21">
        <f>AW9*AW7+AX9*AX7+AY9*AY7</f>
        <v>1</v>
      </c>
      <c r="AW9" s="21">
        <v>1</v>
      </c>
      <c r="AX9" s="21">
        <v>1</v>
      </c>
      <c r="AY9" s="21">
        <v>1</v>
      </c>
      <c r="AZ9" s="21">
        <f>BA9*BA7</f>
        <v>1</v>
      </c>
      <c r="BA9" s="21">
        <v>1</v>
      </c>
      <c r="BB9" s="51">
        <f>BC9*BC7+BD9*BD7</f>
        <v>1</v>
      </c>
      <c r="BC9" s="21">
        <v>1</v>
      </c>
      <c r="BD9" s="21">
        <v>1</v>
      </c>
    </row>
    <row r="10" spans="1:58" ht="29.25" customHeight="1" thickBot="1">
      <c r="A10" s="26" t="s">
        <v>88</v>
      </c>
      <c r="B10" s="132">
        <v>903</v>
      </c>
      <c r="C10" s="52">
        <v>3</v>
      </c>
      <c r="D10" s="133">
        <f>(E10*E7+M10*M7+X10*X7+AA10*AA7+AQ10*AQ7+AV10*AV7+AZ10*AZ7+14%/86%*82.64%)*100</f>
        <v>96.093023255813961</v>
      </c>
      <c r="E10" s="21">
        <f>G10*G7+L10*L7+40%/60%*60%</f>
        <v>1</v>
      </c>
      <c r="F10" s="21" t="s">
        <v>60</v>
      </c>
      <c r="G10" s="21">
        <v>1</v>
      </c>
      <c r="H10" s="21" t="s">
        <v>85</v>
      </c>
      <c r="I10" s="21" t="s">
        <v>85</v>
      </c>
      <c r="J10" s="21" t="s">
        <v>85</v>
      </c>
      <c r="K10" s="21" t="s">
        <v>60</v>
      </c>
      <c r="L10" s="21">
        <v>1</v>
      </c>
      <c r="M10" s="21">
        <f>N10*N7+O10*O7+Q10*Q7+R10*R7+S10*S7+30%/70%*70%</f>
        <v>0.93700000000000006</v>
      </c>
      <c r="N10" s="21">
        <v>1</v>
      </c>
      <c r="O10" s="21">
        <v>0.57999999999999996</v>
      </c>
      <c r="P10" s="21" t="s">
        <v>85</v>
      </c>
      <c r="Q10" s="21">
        <v>1</v>
      </c>
      <c r="R10" s="21">
        <v>1</v>
      </c>
      <c r="S10" s="21">
        <v>1</v>
      </c>
      <c r="T10" s="21">
        <v>1</v>
      </c>
      <c r="U10" s="21" t="s">
        <v>60</v>
      </c>
      <c r="V10" s="21" t="s">
        <v>85</v>
      </c>
      <c r="W10" s="21" t="s">
        <v>85</v>
      </c>
      <c r="X10" s="21">
        <f>Z10*Z7+50%/50%*50%</f>
        <v>1</v>
      </c>
      <c r="Y10" s="21" t="s">
        <v>85</v>
      </c>
      <c r="Z10" s="21">
        <v>1</v>
      </c>
      <c r="AA10" s="21">
        <f>(AD10*AD7+AE10*AE7+AF10*AF7+AG10*AG7+AH10*AH7+AN10*AN7+AO10*AO7+AP10*AP7)+42%</f>
        <v>1</v>
      </c>
      <c r="AB10" s="21" t="s">
        <v>60</v>
      </c>
      <c r="AC10" s="21" t="s">
        <v>60</v>
      </c>
      <c r="AD10" s="21">
        <v>1</v>
      </c>
      <c r="AE10" s="21">
        <v>1</v>
      </c>
      <c r="AF10" s="21">
        <v>1</v>
      </c>
      <c r="AG10" s="21">
        <v>1</v>
      </c>
      <c r="AH10" s="21">
        <v>1</v>
      </c>
      <c r="AI10" s="21" t="s">
        <v>60</v>
      </c>
      <c r="AJ10" s="21" t="s">
        <v>60</v>
      </c>
      <c r="AK10" s="21" t="s">
        <v>60</v>
      </c>
      <c r="AL10" s="21" t="s">
        <v>60</v>
      </c>
      <c r="AM10" s="21" t="s">
        <v>60</v>
      </c>
      <c r="AN10" s="21">
        <v>1</v>
      </c>
      <c r="AO10" s="21">
        <v>1</v>
      </c>
      <c r="AP10" s="21">
        <v>1</v>
      </c>
      <c r="AQ10" s="21">
        <f>AR10*AR7+AS10*AS7+AT10*AT7+AU10*AU7</f>
        <v>1</v>
      </c>
      <c r="AR10" s="21">
        <v>1</v>
      </c>
      <c r="AS10" s="21">
        <v>1</v>
      </c>
      <c r="AT10" s="21">
        <v>1</v>
      </c>
      <c r="AU10" s="21">
        <v>1</v>
      </c>
      <c r="AV10" s="21">
        <f>AW10*AW7+AX10*AX7+AY10*AY7</f>
        <v>0.7</v>
      </c>
      <c r="AW10" s="21">
        <v>1</v>
      </c>
      <c r="AX10" s="21">
        <v>0</v>
      </c>
      <c r="AY10" s="21">
        <v>1</v>
      </c>
      <c r="AZ10" s="21">
        <f>BA10*BA7</f>
        <v>1</v>
      </c>
      <c r="BA10" s="21">
        <v>1</v>
      </c>
      <c r="BB10" s="51" t="s">
        <v>60</v>
      </c>
      <c r="BC10" s="21" t="s">
        <v>60</v>
      </c>
      <c r="BD10" s="21" t="s">
        <v>85</v>
      </c>
    </row>
    <row r="11" spans="1:58" ht="30" customHeight="1" thickBot="1">
      <c r="A11" s="13" t="s">
        <v>80</v>
      </c>
      <c r="B11" s="132">
        <v>904</v>
      </c>
      <c r="C11" s="52">
        <v>1</v>
      </c>
      <c r="D11" s="133">
        <f>(E11*E7+M11*M7+X11*X7+AA11*AA7+AQ11*AQ7+AV11*AV7+AZ11*AZ7+14%/86%*84.05%)*100</f>
        <v>97.729558139534888</v>
      </c>
      <c r="E11" s="21">
        <f>G11*G7+L11*L7+40%/60%*60%</f>
        <v>1</v>
      </c>
      <c r="F11" s="21" t="s">
        <v>60</v>
      </c>
      <c r="G11" s="21">
        <v>1</v>
      </c>
      <c r="H11" s="21" t="s">
        <v>60</v>
      </c>
      <c r="I11" s="21" t="s">
        <v>60</v>
      </c>
      <c r="J11" s="21" t="s">
        <v>60</v>
      </c>
      <c r="K11" s="21" t="s">
        <v>60</v>
      </c>
      <c r="L11" s="21">
        <v>1</v>
      </c>
      <c r="M11" s="21">
        <f>N11*N7+O11*O7+Q11*Q7+R11*R7+S11*S7+30%/70%*70%</f>
        <v>0.96849999999999992</v>
      </c>
      <c r="N11" s="21">
        <v>1</v>
      </c>
      <c r="O11" s="21">
        <v>0.79</v>
      </c>
      <c r="P11" s="21" t="s">
        <v>60</v>
      </c>
      <c r="Q11" s="21">
        <v>1</v>
      </c>
      <c r="R11" s="21">
        <v>1</v>
      </c>
      <c r="S11" s="21">
        <v>1</v>
      </c>
      <c r="T11" s="21">
        <v>1</v>
      </c>
      <c r="U11" s="21" t="s">
        <v>60</v>
      </c>
      <c r="V11" s="21" t="s">
        <v>60</v>
      </c>
      <c r="W11" s="21" t="s">
        <v>60</v>
      </c>
      <c r="X11" s="21">
        <f>Z11*Z7+50%/50%*50%</f>
        <v>1</v>
      </c>
      <c r="Y11" s="21" t="s">
        <v>60</v>
      </c>
      <c r="Z11" s="21">
        <v>1</v>
      </c>
      <c r="AA11" s="21">
        <f>(AD11*AD7+AE11*AE7+AF11*AF7+AG11*AG7+AH11*AH7+AN11*AN7+AO11*AO7+AP11*AP7)+42%</f>
        <v>1</v>
      </c>
      <c r="AB11" s="21" t="s">
        <v>60</v>
      </c>
      <c r="AC11" s="21" t="s">
        <v>60</v>
      </c>
      <c r="AD11" s="21">
        <v>1</v>
      </c>
      <c r="AE11" s="21">
        <v>1</v>
      </c>
      <c r="AF11" s="21">
        <v>1</v>
      </c>
      <c r="AG11" s="21">
        <v>1</v>
      </c>
      <c r="AH11" s="21">
        <v>1</v>
      </c>
      <c r="AI11" s="21" t="s">
        <v>60</v>
      </c>
      <c r="AJ11" s="21" t="s">
        <v>60</v>
      </c>
      <c r="AK11" s="21" t="s">
        <v>60</v>
      </c>
      <c r="AL11" s="21" t="s">
        <v>60</v>
      </c>
      <c r="AM11" s="21" t="s">
        <v>60</v>
      </c>
      <c r="AN11" s="21">
        <v>1</v>
      </c>
      <c r="AO11" s="21">
        <v>1</v>
      </c>
      <c r="AP11" s="21">
        <v>1</v>
      </c>
      <c r="AQ11" s="21">
        <f>AR11*AR7+AS11*AS7+AT11*AT7+AU11*AU7</f>
        <v>1</v>
      </c>
      <c r="AR11" s="21">
        <v>1</v>
      </c>
      <c r="AS11" s="21">
        <v>1</v>
      </c>
      <c r="AT11" s="21">
        <v>1</v>
      </c>
      <c r="AU11" s="21">
        <v>1</v>
      </c>
      <c r="AV11" s="21">
        <f>AW11*AW7+AX11*AX7+AY11*AY7</f>
        <v>0.81099999999999994</v>
      </c>
      <c r="AW11" s="21">
        <v>1</v>
      </c>
      <c r="AX11" s="21">
        <v>0.37</v>
      </c>
      <c r="AY11" s="21">
        <v>1</v>
      </c>
      <c r="AZ11" s="21">
        <f>BA11*BA7</f>
        <v>1</v>
      </c>
      <c r="BA11" s="21">
        <v>1</v>
      </c>
      <c r="BB11" s="51" t="s">
        <v>60</v>
      </c>
      <c r="BC11" s="21" t="s">
        <v>60</v>
      </c>
      <c r="BD11" s="21" t="s">
        <v>60</v>
      </c>
    </row>
    <row r="12" spans="1:58" ht="24.75" customHeight="1" thickBot="1">
      <c r="A12" s="13" t="s">
        <v>81</v>
      </c>
      <c r="B12" s="132">
        <v>906</v>
      </c>
      <c r="C12" s="52">
        <v>5</v>
      </c>
      <c r="D12" s="135">
        <f>(E12*E7+M12*M7+U12*U7+X12*X7+AA12*AA7+AQ12*AQ7+AZ12*AZ7+BB12*BB7+7%/93%*81.99%)*100</f>
        <v>88.156290322580674</v>
      </c>
      <c r="E12" s="21">
        <f>(G12*G7+H12*H7+K12*K7+L12*L7)</f>
        <v>0.70000000000000007</v>
      </c>
      <c r="F12" s="21" t="s">
        <v>60</v>
      </c>
      <c r="G12" s="21">
        <v>1</v>
      </c>
      <c r="H12" s="21">
        <v>1</v>
      </c>
      <c r="I12" s="21">
        <v>1</v>
      </c>
      <c r="J12" s="21">
        <v>1</v>
      </c>
      <c r="K12" s="134">
        <v>1</v>
      </c>
      <c r="L12" s="134">
        <v>0</v>
      </c>
      <c r="M12" s="21">
        <f>N12*N7+O12*O7+P12*P7+Q12*Q7+R12*R7+S12*S7+15%/85%*85%</f>
        <v>0.95950000000000002</v>
      </c>
      <c r="N12" s="21">
        <v>1</v>
      </c>
      <c r="O12" s="21">
        <v>0.73</v>
      </c>
      <c r="P12" s="21">
        <v>1</v>
      </c>
      <c r="Q12" s="21">
        <v>1</v>
      </c>
      <c r="R12" s="21">
        <v>1</v>
      </c>
      <c r="S12" s="21">
        <v>1</v>
      </c>
      <c r="T12" s="21">
        <v>1</v>
      </c>
      <c r="U12" s="21">
        <f>W12*W7+50%/50%*50%</f>
        <v>0.5</v>
      </c>
      <c r="V12" s="21" t="s">
        <v>85</v>
      </c>
      <c r="W12" s="21">
        <v>0</v>
      </c>
      <c r="X12" s="21">
        <f>Y12*Y7+Z12*Z7</f>
        <v>1</v>
      </c>
      <c r="Y12" s="21">
        <v>1</v>
      </c>
      <c r="Z12" s="21">
        <v>1</v>
      </c>
      <c r="AA12" s="21">
        <f>(AD12*AD7+AE12*AE7+AF12*AF7+AG12*AG7+AH12*AH7+AN12*AN7+AO12*AO7+AP12*AP7)+42%</f>
        <v>1</v>
      </c>
      <c r="AB12" s="21" t="s">
        <v>60</v>
      </c>
      <c r="AC12" s="21" t="s">
        <v>60</v>
      </c>
      <c r="AD12" s="21">
        <v>1</v>
      </c>
      <c r="AE12" s="21">
        <v>1</v>
      </c>
      <c r="AF12" s="21">
        <v>1</v>
      </c>
      <c r="AG12" s="21">
        <v>1</v>
      </c>
      <c r="AH12" s="21">
        <v>1</v>
      </c>
      <c r="AI12" s="21" t="s">
        <v>60</v>
      </c>
      <c r="AJ12" s="21" t="s">
        <v>60</v>
      </c>
      <c r="AK12" s="21" t="s">
        <v>60</v>
      </c>
      <c r="AL12" s="21" t="s">
        <v>60</v>
      </c>
      <c r="AM12" s="21" t="s">
        <v>60</v>
      </c>
      <c r="AN12" s="21">
        <v>1</v>
      </c>
      <c r="AO12" s="21">
        <v>1</v>
      </c>
      <c r="AP12" s="21">
        <v>1</v>
      </c>
      <c r="AQ12" s="21">
        <f>AR12*AR7+AS12*AS7+AT12*AT7+AU12*AU7</f>
        <v>1</v>
      </c>
      <c r="AR12" s="21">
        <v>1</v>
      </c>
      <c r="AS12" s="21">
        <v>1</v>
      </c>
      <c r="AT12" s="21">
        <v>1</v>
      </c>
      <c r="AU12" s="21">
        <v>1</v>
      </c>
      <c r="AV12" s="21" t="s">
        <v>60</v>
      </c>
      <c r="AW12" s="21" t="s">
        <v>60</v>
      </c>
      <c r="AX12" s="21" t="s">
        <v>60</v>
      </c>
      <c r="AY12" s="21" t="s">
        <v>60</v>
      </c>
      <c r="AZ12" s="21">
        <f>BA12*BA7</f>
        <v>1</v>
      </c>
      <c r="BA12" s="21">
        <v>1</v>
      </c>
      <c r="BB12" s="51">
        <f>BC12*BC7+BD12*BD7</f>
        <v>0.68500000000000005</v>
      </c>
      <c r="BC12" s="21">
        <v>0.37</v>
      </c>
      <c r="BD12" s="21">
        <v>1</v>
      </c>
    </row>
    <row r="13" spans="1:58" ht="26.25" thickBot="1">
      <c r="A13" s="13" t="s">
        <v>82</v>
      </c>
      <c r="B13" s="132">
        <v>907</v>
      </c>
      <c r="C13" s="52">
        <v>8</v>
      </c>
      <c r="D13" s="133">
        <f>(E13*E7+M13*M7+U13*U7+X13*X7+AA13*AA7+AQ13*AQ7+AZ13*AZ7+BB13*BB7+7%/93%*77.5%)*100</f>
        <v>83.333333333333343</v>
      </c>
      <c r="E13" s="21">
        <f>(G13*G7+H13*H7+K13*K7)+L13*L7</f>
        <v>0.55000000000000004</v>
      </c>
      <c r="F13" s="21" t="s">
        <v>60</v>
      </c>
      <c r="G13" s="21">
        <v>1</v>
      </c>
      <c r="H13" s="21">
        <v>1</v>
      </c>
      <c r="I13" s="21">
        <v>1</v>
      </c>
      <c r="J13" s="21">
        <v>1</v>
      </c>
      <c r="K13" s="21">
        <v>0</v>
      </c>
      <c r="L13" s="21">
        <v>0</v>
      </c>
      <c r="M13" s="21">
        <f>N13*N7+O13*O7+P13*P7+Q13*Q7+R13*R7+S13*S7+15%/85%*85%</f>
        <v>1</v>
      </c>
      <c r="N13" s="21">
        <v>1</v>
      </c>
      <c r="O13" s="21">
        <v>1</v>
      </c>
      <c r="P13" s="21">
        <v>1</v>
      </c>
      <c r="Q13" s="21">
        <v>1</v>
      </c>
      <c r="R13" s="21">
        <v>1</v>
      </c>
      <c r="S13" s="21">
        <v>1</v>
      </c>
      <c r="T13" s="21">
        <v>1</v>
      </c>
      <c r="U13" s="21">
        <f>W13*W7+50%/50%*50%</f>
        <v>1</v>
      </c>
      <c r="V13" s="21" t="s">
        <v>85</v>
      </c>
      <c r="W13" s="21">
        <v>1</v>
      </c>
      <c r="X13" s="21">
        <v>1</v>
      </c>
      <c r="Y13" s="21">
        <v>1</v>
      </c>
      <c r="Z13" s="21">
        <v>1</v>
      </c>
      <c r="AA13" s="21">
        <f>(AD13*AD7+AE13*AE7+AF13*AF7+AG13*AG7+AH13*AH7+AN13*AN7)+49%</f>
        <v>1</v>
      </c>
      <c r="AB13" s="21" t="s">
        <v>60</v>
      </c>
      <c r="AC13" s="21" t="s">
        <v>60</v>
      </c>
      <c r="AD13" s="21">
        <v>1</v>
      </c>
      <c r="AE13" s="21">
        <v>1</v>
      </c>
      <c r="AF13" s="21">
        <v>1</v>
      </c>
      <c r="AG13" s="21">
        <v>1</v>
      </c>
      <c r="AH13" s="21">
        <v>1</v>
      </c>
      <c r="AI13" s="21" t="s">
        <v>60</v>
      </c>
      <c r="AJ13" s="21" t="s">
        <v>60</v>
      </c>
      <c r="AK13" s="21" t="s">
        <v>60</v>
      </c>
      <c r="AL13" s="21" t="s">
        <v>60</v>
      </c>
      <c r="AM13" s="21" t="s">
        <v>60</v>
      </c>
      <c r="AN13" s="21">
        <v>1</v>
      </c>
      <c r="AO13" s="21">
        <v>1</v>
      </c>
      <c r="AP13" s="21">
        <v>1</v>
      </c>
      <c r="AQ13" s="21">
        <f>AR13*AR7+AS13*AS7+AT13*AT7+AU13*AU7</f>
        <v>0.75</v>
      </c>
      <c r="AR13" s="21">
        <v>1</v>
      </c>
      <c r="AS13" s="21">
        <v>0</v>
      </c>
      <c r="AT13" s="21">
        <v>1</v>
      </c>
      <c r="AU13" s="21">
        <v>1</v>
      </c>
      <c r="AV13" s="21" t="s">
        <v>60</v>
      </c>
      <c r="AW13" s="21" t="s">
        <v>60</v>
      </c>
      <c r="AX13" s="21" t="s">
        <v>60</v>
      </c>
      <c r="AY13" s="21" t="s">
        <v>60</v>
      </c>
      <c r="AZ13" s="21">
        <f>BA13*BA7</f>
        <v>0</v>
      </c>
      <c r="BA13" s="21">
        <v>0</v>
      </c>
      <c r="BB13" s="51">
        <f>100%/100%*100%</f>
        <v>1</v>
      </c>
      <c r="BC13" s="21" t="s">
        <v>60</v>
      </c>
      <c r="BD13" s="21">
        <v>1</v>
      </c>
    </row>
    <row r="14" spans="1:58" ht="30.75" customHeight="1" thickBot="1">
      <c r="A14" s="13" t="s">
        <v>83</v>
      </c>
      <c r="B14" s="132">
        <v>913</v>
      </c>
      <c r="C14" s="52">
        <v>4</v>
      </c>
      <c r="D14" s="133">
        <f>(E14*E7+M14*M7+U14*U7+X14*X7+AA14*AA7+AQ14*AQ7+AV14*AV7+AZ14*AZ7+BB14*BB7)*100</f>
        <v>94.40000000000002</v>
      </c>
      <c r="E14" s="21">
        <f>(G14*G7+H14*H7+K14*K7)+L14*L7</f>
        <v>1</v>
      </c>
      <c r="F14" s="21" t="s">
        <v>60</v>
      </c>
      <c r="G14" s="24">
        <v>1</v>
      </c>
      <c r="H14" s="21">
        <v>1</v>
      </c>
      <c r="I14" s="21">
        <v>1</v>
      </c>
      <c r="J14" s="21">
        <v>1</v>
      </c>
      <c r="K14" s="24">
        <v>1</v>
      </c>
      <c r="L14" s="24">
        <v>1</v>
      </c>
      <c r="M14" s="21">
        <f>N14*N7+O14*O7+P14*P7+Q14*Q7+R14*R7+S14*S7+15%/85%*85%</f>
        <v>1</v>
      </c>
      <c r="N14" s="21">
        <v>1</v>
      </c>
      <c r="O14" s="21">
        <v>1</v>
      </c>
      <c r="P14" s="21">
        <v>1</v>
      </c>
      <c r="Q14" s="24">
        <v>1</v>
      </c>
      <c r="R14" s="21">
        <v>1</v>
      </c>
      <c r="S14" s="24">
        <v>1</v>
      </c>
      <c r="T14" s="24">
        <v>1</v>
      </c>
      <c r="U14" s="21">
        <f>W14*W7+50%/50%*50%</f>
        <v>0.5</v>
      </c>
      <c r="V14" s="21" t="s">
        <v>85</v>
      </c>
      <c r="W14" s="21">
        <v>0</v>
      </c>
      <c r="X14" s="21">
        <f>Y14*Y7+Z14*Z7</f>
        <v>1</v>
      </c>
      <c r="Y14" s="21">
        <v>1</v>
      </c>
      <c r="Z14" s="24">
        <v>1</v>
      </c>
      <c r="AA14" s="21">
        <f>(AD14*AD7+AE14*AE7+AF14*AF7+AG14*AG7+AH14*AH7+AN14*AN7)+49%</f>
        <v>1</v>
      </c>
      <c r="AB14" s="21" t="s">
        <v>60</v>
      </c>
      <c r="AC14" s="21" t="s">
        <v>60</v>
      </c>
      <c r="AD14" s="24">
        <v>1</v>
      </c>
      <c r="AE14" s="21">
        <v>1</v>
      </c>
      <c r="AF14" s="21">
        <v>1</v>
      </c>
      <c r="AG14" s="21">
        <v>1</v>
      </c>
      <c r="AH14" s="21">
        <v>1</v>
      </c>
      <c r="AI14" s="21" t="s">
        <v>60</v>
      </c>
      <c r="AJ14" s="21" t="s">
        <v>60</v>
      </c>
      <c r="AK14" s="21" t="s">
        <v>60</v>
      </c>
      <c r="AL14" s="21" t="s">
        <v>60</v>
      </c>
      <c r="AM14" s="21" t="s">
        <v>60</v>
      </c>
      <c r="AN14" s="21">
        <v>1</v>
      </c>
      <c r="AO14" s="21">
        <v>1</v>
      </c>
      <c r="AP14" s="21">
        <v>1</v>
      </c>
      <c r="AQ14" s="21">
        <f>AR14*AR7+AS14*AS7+AT14*AT7+AU14*AU7</f>
        <v>1</v>
      </c>
      <c r="AR14" s="21">
        <v>1</v>
      </c>
      <c r="AS14" s="21">
        <v>1</v>
      </c>
      <c r="AT14" s="21">
        <v>1</v>
      </c>
      <c r="AU14" s="21">
        <v>1</v>
      </c>
      <c r="AV14" s="21">
        <f>AW14*AW7+AX14*AX7+AY14*AY7</f>
        <v>0.7</v>
      </c>
      <c r="AW14" s="21">
        <v>1</v>
      </c>
      <c r="AX14" s="21">
        <v>0</v>
      </c>
      <c r="AY14" s="21">
        <v>1</v>
      </c>
      <c r="AZ14" s="21">
        <f>BA14*BA7</f>
        <v>1</v>
      </c>
      <c r="BA14" s="21">
        <v>1</v>
      </c>
      <c r="BB14" s="51">
        <f>BD14*BD7+50%/50%*50%</f>
        <v>1</v>
      </c>
      <c r="BC14" s="21" t="s">
        <v>60</v>
      </c>
      <c r="BD14" s="21">
        <v>1</v>
      </c>
    </row>
    <row r="15" spans="1:58" ht="27" customHeight="1" thickBot="1">
      <c r="A15" s="13" t="s">
        <v>96</v>
      </c>
      <c r="B15" s="132">
        <v>914</v>
      </c>
      <c r="C15" s="52">
        <v>9</v>
      </c>
      <c r="D15" s="133">
        <f>(E15*E7+M15*M7+U15*U7+X15*X7+AA15*AA7+AQ15*AQ7+AV15*AV7+AZ15*AZ7+BB15*BB7)*100</f>
        <v>75.150000000000006</v>
      </c>
      <c r="E15" s="21">
        <f>(G15*G7+H15*H7+K15*K7)+L15*L7</f>
        <v>0.55000000000000004</v>
      </c>
      <c r="F15" s="21" t="s">
        <v>60</v>
      </c>
      <c r="G15" s="21">
        <v>1</v>
      </c>
      <c r="H15" s="21">
        <v>1</v>
      </c>
      <c r="I15" s="21">
        <v>1</v>
      </c>
      <c r="J15" s="21">
        <v>1</v>
      </c>
      <c r="K15" s="21">
        <v>0</v>
      </c>
      <c r="L15" s="21">
        <v>0</v>
      </c>
      <c r="M15" s="21">
        <f>N15*N7+O15*O7+P15*P7+Q15*Q7+R15*R7+S15*S7+15%/85%*85%</f>
        <v>1</v>
      </c>
      <c r="N15" s="21">
        <v>1</v>
      </c>
      <c r="O15" s="21">
        <v>1</v>
      </c>
      <c r="P15" s="21">
        <v>1</v>
      </c>
      <c r="Q15" s="21">
        <v>1</v>
      </c>
      <c r="R15" s="21">
        <v>1</v>
      </c>
      <c r="S15" s="21">
        <v>1</v>
      </c>
      <c r="T15" s="21">
        <v>1</v>
      </c>
      <c r="U15" s="21">
        <f>W15*W7+50%/50%*50%</f>
        <v>0.5</v>
      </c>
      <c r="V15" s="21" t="s">
        <v>85</v>
      </c>
      <c r="W15" s="21">
        <v>0</v>
      </c>
      <c r="X15" s="21">
        <f>Y15*Y7+Z15*Z7</f>
        <v>0.75</v>
      </c>
      <c r="Y15" s="21">
        <v>1</v>
      </c>
      <c r="Z15" s="21">
        <v>0.5</v>
      </c>
      <c r="AA15" s="21">
        <f>(AD15*AD7+AE15*AE7+AF15*AF7+AG15*AG7+AH15*AH7+AN15*AN7)+49%</f>
        <v>1</v>
      </c>
      <c r="AB15" s="21" t="s">
        <v>60</v>
      </c>
      <c r="AC15" s="21" t="s">
        <v>60</v>
      </c>
      <c r="AD15" s="21">
        <v>1</v>
      </c>
      <c r="AE15" s="21">
        <v>1</v>
      </c>
      <c r="AF15" s="21">
        <v>1</v>
      </c>
      <c r="AG15" s="21">
        <v>1</v>
      </c>
      <c r="AH15" s="21">
        <v>1</v>
      </c>
      <c r="AI15" s="21" t="s">
        <v>60</v>
      </c>
      <c r="AJ15" s="21" t="s">
        <v>60</v>
      </c>
      <c r="AK15" s="21" t="s">
        <v>60</v>
      </c>
      <c r="AL15" s="21" t="s">
        <v>60</v>
      </c>
      <c r="AM15" s="21" t="s">
        <v>60</v>
      </c>
      <c r="AN15" s="21">
        <v>1</v>
      </c>
      <c r="AO15" s="21">
        <v>1</v>
      </c>
      <c r="AP15" s="21">
        <v>1</v>
      </c>
      <c r="AQ15" s="21">
        <f>AR15*AR7+AS15*AS7+AT15*AT7+AU15*AU7</f>
        <v>0.75</v>
      </c>
      <c r="AR15" s="21">
        <v>0</v>
      </c>
      <c r="AS15" s="21">
        <v>1</v>
      </c>
      <c r="AT15" s="21">
        <v>1</v>
      </c>
      <c r="AU15" s="21">
        <v>1</v>
      </c>
      <c r="AV15" s="21">
        <f>AW15*AW7+AX15*AX7+AY15*AY7</f>
        <v>0.7</v>
      </c>
      <c r="AW15" s="21">
        <v>1</v>
      </c>
      <c r="AX15" s="21">
        <v>0</v>
      </c>
      <c r="AY15" s="21">
        <v>1</v>
      </c>
      <c r="AZ15" s="21">
        <f>BA15*BA7</f>
        <v>0</v>
      </c>
      <c r="BA15" s="21">
        <v>0</v>
      </c>
      <c r="BB15" s="51">
        <f>BC15*BC7+BD15*BD7</f>
        <v>1</v>
      </c>
      <c r="BC15" s="21">
        <v>1</v>
      </c>
      <c r="BD15" s="21">
        <v>1</v>
      </c>
    </row>
    <row r="16" spans="1:58" ht="28.5" customHeight="1" thickBot="1">
      <c r="A16" s="13" t="s">
        <v>97</v>
      </c>
      <c r="B16" s="132">
        <v>917</v>
      </c>
      <c r="C16" s="52">
        <v>6</v>
      </c>
      <c r="D16" s="133">
        <f>(E16*E7+M16*M7+U16*U7+X16*X7+AA16*AA7+AQ16*AQ7+AV16*AV7+AZ16*AZ7+7%/93%*80.9%)*100</f>
        <v>86.989247311827967</v>
      </c>
      <c r="E16" s="21">
        <f>G16*G7+L16*L7+40%/60%*60%</f>
        <v>1</v>
      </c>
      <c r="F16" s="21" t="s">
        <v>60</v>
      </c>
      <c r="G16" s="24">
        <v>1</v>
      </c>
      <c r="H16" s="24" t="s">
        <v>60</v>
      </c>
      <c r="I16" s="24" t="s">
        <v>60</v>
      </c>
      <c r="J16" s="24" t="s">
        <v>60</v>
      </c>
      <c r="K16" s="24" t="s">
        <v>60</v>
      </c>
      <c r="L16" s="24">
        <v>1</v>
      </c>
      <c r="M16" s="21">
        <f>N16*N7+O16*O7+Q16*Q7+R16*R7+S16*S7+30%/70%*70%</f>
        <v>0.84999999999999987</v>
      </c>
      <c r="N16" s="21">
        <v>1</v>
      </c>
      <c r="O16" s="21">
        <v>1</v>
      </c>
      <c r="P16" s="21" t="s">
        <v>60</v>
      </c>
      <c r="Q16" s="24">
        <v>1</v>
      </c>
      <c r="R16" s="21">
        <v>0</v>
      </c>
      <c r="S16" s="24">
        <v>1</v>
      </c>
      <c r="T16" s="24">
        <v>1</v>
      </c>
      <c r="U16" s="21">
        <f>W16*W7+50%/50%*50%</f>
        <v>1</v>
      </c>
      <c r="V16" s="21" t="s">
        <v>85</v>
      </c>
      <c r="W16" s="21">
        <v>1</v>
      </c>
      <c r="X16" s="21">
        <f>Z16*Z7+50%/50%*50%</f>
        <v>1</v>
      </c>
      <c r="Y16" s="21" t="s">
        <v>60</v>
      </c>
      <c r="Z16" s="24">
        <v>1</v>
      </c>
      <c r="AA16" s="21">
        <f>(AD16*AD7+AE16*AE7+AF16*AF7+AG16*AG7+AH16*AH7+AN16*AN7)+49%</f>
        <v>1</v>
      </c>
      <c r="AB16" s="21" t="s">
        <v>60</v>
      </c>
      <c r="AC16" s="21" t="s">
        <v>60</v>
      </c>
      <c r="AD16" s="24">
        <v>1</v>
      </c>
      <c r="AE16" s="21">
        <v>1</v>
      </c>
      <c r="AF16" s="21">
        <v>1</v>
      </c>
      <c r="AG16" s="21">
        <v>1</v>
      </c>
      <c r="AH16" s="21">
        <v>1</v>
      </c>
      <c r="AI16" s="21" t="s">
        <v>60</v>
      </c>
      <c r="AJ16" s="21" t="s">
        <v>60</v>
      </c>
      <c r="AK16" s="21" t="s">
        <v>60</v>
      </c>
      <c r="AL16" s="21" t="s">
        <v>60</v>
      </c>
      <c r="AM16" s="21" t="s">
        <v>60</v>
      </c>
      <c r="AN16" s="21">
        <v>1</v>
      </c>
      <c r="AO16" s="21">
        <v>1</v>
      </c>
      <c r="AP16" s="21">
        <v>1</v>
      </c>
      <c r="AQ16" s="21">
        <f>AR16*AR7+AS16*AS7+AT16*AT7+AU16*AU7</f>
        <v>1</v>
      </c>
      <c r="AR16" s="21">
        <v>1</v>
      </c>
      <c r="AS16" s="21">
        <v>1</v>
      </c>
      <c r="AT16" s="21">
        <v>1</v>
      </c>
      <c r="AU16" s="21">
        <v>1</v>
      </c>
      <c r="AV16" s="21">
        <f>AW16*AW7+AX16*AX7+AY16*AY7</f>
        <v>0.7</v>
      </c>
      <c r="AW16" s="21">
        <v>1</v>
      </c>
      <c r="AX16" s="21">
        <v>0</v>
      </c>
      <c r="AY16" s="21">
        <v>1</v>
      </c>
      <c r="AZ16" s="21">
        <f>BA16*BA7</f>
        <v>0</v>
      </c>
      <c r="BA16" s="21">
        <v>0</v>
      </c>
      <c r="BB16" s="51" t="s">
        <v>60</v>
      </c>
      <c r="BC16" s="21" t="s">
        <v>60</v>
      </c>
      <c r="BD16" s="21" t="s">
        <v>60</v>
      </c>
    </row>
    <row r="17" spans="1:56" ht="16.5" thickBot="1">
      <c r="A17" s="15" t="s">
        <v>16</v>
      </c>
      <c r="B17" s="132" t="s">
        <v>4</v>
      </c>
      <c r="C17" s="132" t="s">
        <v>4</v>
      </c>
      <c r="D17" s="130">
        <f>(E17*E7+M17*M7+U17*U7+X17*X7+AA17*AA7+AQ17*AQ7+AV17*AV7+AZ17*AZ7+BB17*BB7)*100</f>
        <v>88.124750000000006</v>
      </c>
      <c r="E17" s="21">
        <f>(G17*G7+H17*H7+I17*I7+J17*J7+K17*K7+L17*L7)-25%</f>
        <v>0.77666666666666684</v>
      </c>
      <c r="F17" s="21" t="s">
        <v>60</v>
      </c>
      <c r="G17" s="21">
        <f>SUM(G8:G16)/9</f>
        <v>1</v>
      </c>
      <c r="H17" s="21">
        <f>SUM(H8:H16)/5</f>
        <v>1</v>
      </c>
      <c r="I17" s="21">
        <f>SUM(I8:I16)/5</f>
        <v>1</v>
      </c>
      <c r="J17" s="21">
        <f>SUM(J8:J16)/5</f>
        <v>1</v>
      </c>
      <c r="K17" s="21">
        <f>SUM(K8:K16)/5</f>
        <v>0.4</v>
      </c>
      <c r="L17" s="21">
        <f>SUM(L8:L16)/9</f>
        <v>0.55555555555555558</v>
      </c>
      <c r="M17" s="21">
        <f>N17*N7+O17*O7+P17*P7+Q17*Q7+R17*R7+S17*S7+15%/85%*85%</f>
        <v>0.95566666666666666</v>
      </c>
      <c r="N17" s="21">
        <f>SUM(N8:N16)/9</f>
        <v>1</v>
      </c>
      <c r="O17" s="21">
        <f>SUM(O8:O16)/9</f>
        <v>0.81555555555555559</v>
      </c>
      <c r="P17" s="21">
        <f>SUM(P8:P16)/5</f>
        <v>1</v>
      </c>
      <c r="Q17" s="21">
        <f>SUM(Q8:Q16)/9</f>
        <v>1</v>
      </c>
      <c r="R17" s="21">
        <f>SUM(R8:R16)/9</f>
        <v>0.88888888888888884</v>
      </c>
      <c r="S17" s="21">
        <f>SUM(S8:S16)/9</f>
        <v>1</v>
      </c>
      <c r="T17" s="21" t="s">
        <v>60</v>
      </c>
      <c r="U17" s="21">
        <v>0.83</v>
      </c>
      <c r="V17" s="21" t="s">
        <v>60</v>
      </c>
      <c r="W17" s="21">
        <v>1</v>
      </c>
      <c r="X17" s="21">
        <f>Z17*Z7+50%/50%*50%</f>
        <v>0.97222222222222221</v>
      </c>
      <c r="Y17" s="21">
        <f>SUM(Y8:Y16)/5</f>
        <v>1</v>
      </c>
      <c r="Z17" s="21">
        <f>SUM(Z8:Z16)/9</f>
        <v>0.94444444444444442</v>
      </c>
      <c r="AA17" s="21">
        <f>(AD17*AD7+AE17*AE7+AF17*AF7+AG17*AG7+AH17*AH7+AN17*AN7+AO17*AO7+AP17*AP7)+42%</f>
        <v>1</v>
      </c>
      <c r="AB17" s="21" t="s">
        <v>60</v>
      </c>
      <c r="AC17" s="21" t="s">
        <v>60</v>
      </c>
      <c r="AD17" s="21">
        <f t="shared" ref="AD17:AF17" si="0">SUM(AD8:AD16)/9</f>
        <v>1</v>
      </c>
      <c r="AE17" s="21">
        <f t="shared" si="0"/>
        <v>1</v>
      </c>
      <c r="AF17" s="21">
        <f t="shared" si="0"/>
        <v>1</v>
      </c>
      <c r="AG17" s="21">
        <f>SUM(AG8:AG16)/9</f>
        <v>1</v>
      </c>
      <c r="AH17" s="21">
        <f t="shared" ref="AH17:AN17" si="1">SUM(AH8:AH16)/9</f>
        <v>1</v>
      </c>
      <c r="AI17" s="21" t="s">
        <v>60</v>
      </c>
      <c r="AJ17" s="21" t="s">
        <v>60</v>
      </c>
      <c r="AK17" s="21" t="s">
        <v>60</v>
      </c>
      <c r="AL17" s="21" t="s">
        <v>60</v>
      </c>
      <c r="AM17" s="21" t="s">
        <v>60</v>
      </c>
      <c r="AN17" s="21">
        <f t="shared" si="1"/>
        <v>1</v>
      </c>
      <c r="AO17" s="21">
        <v>1</v>
      </c>
      <c r="AP17" s="21">
        <v>1</v>
      </c>
      <c r="AQ17" s="21">
        <f>AR17*AR7+AS17*AS7+AT17*AT7+AU17*AU7</f>
        <v>0.91666666666666663</v>
      </c>
      <c r="AR17" s="21">
        <f>SUM(AR8:AR16)/9</f>
        <v>0.77777777777777779</v>
      </c>
      <c r="AS17" s="21">
        <f>SUM(AS8:AS16)/9</f>
        <v>0.88888888888888884</v>
      </c>
      <c r="AT17" s="21">
        <f>SUM(AT8:AT16)/9</f>
        <v>1</v>
      </c>
      <c r="AU17" s="21">
        <f>SUM(AU8:AU16)/9</f>
        <v>1</v>
      </c>
      <c r="AV17" s="136">
        <f>AW17*AW7+AX17*AX7+AY17*AY7</f>
        <v>0.75871428571428567</v>
      </c>
      <c r="AW17" s="21">
        <f>SUM(AW8:AW16)/7</f>
        <v>1</v>
      </c>
      <c r="AX17" s="21">
        <f>SUM(AX8:AX16)/7</f>
        <v>0.19571428571428573</v>
      </c>
      <c r="AY17" s="21">
        <f>SUM(AY8:AY16)/7</f>
        <v>1</v>
      </c>
      <c r="AZ17" s="21">
        <f>BA17*BA7</f>
        <v>0.66666666666666663</v>
      </c>
      <c r="BA17" s="21">
        <f>SUM(BA8:BA16)/9</f>
        <v>0.66666666666666663</v>
      </c>
      <c r="BB17" s="21">
        <f>BC17*BC7+BD17*BD7</f>
        <v>0.79625000000000001</v>
      </c>
      <c r="BC17" s="21">
        <f>SUM(BC8:BC16)/4</f>
        <v>0.59250000000000003</v>
      </c>
      <c r="BD17" s="21">
        <f>SUM(BD8:BD16)/5</f>
        <v>1</v>
      </c>
    </row>
    <row r="18" spans="1:56">
      <c r="E18" s="66"/>
      <c r="F18" s="28">
        <v>83.9</v>
      </c>
      <c r="G18" s="28">
        <v>901</v>
      </c>
      <c r="H18" s="131">
        <v>0.14000000000000001</v>
      </c>
      <c r="U18" s="65"/>
      <c r="V18" s="65"/>
      <c r="W18" s="65"/>
    </row>
    <row r="19" spans="1:56">
      <c r="F19" s="39">
        <v>0.85719999999999996</v>
      </c>
      <c r="G19" s="28">
        <v>902</v>
      </c>
      <c r="H19" s="39">
        <v>0</v>
      </c>
      <c r="I19" s="39"/>
      <c r="J19" s="39"/>
      <c r="K19" s="39"/>
      <c r="L19" s="39"/>
      <c r="M19" s="40"/>
      <c r="N19" s="36"/>
      <c r="O19" s="36"/>
      <c r="P19" s="36"/>
      <c r="Q19" s="22"/>
      <c r="R19" s="36"/>
      <c r="S19" s="36"/>
      <c r="T19" s="36"/>
      <c r="U19" s="41"/>
      <c r="V19" s="41"/>
      <c r="W19" s="41"/>
      <c r="X19" s="36"/>
      <c r="Y19" s="40"/>
      <c r="Z19" s="40"/>
      <c r="AA19" s="41"/>
      <c r="AB19" s="40"/>
      <c r="AC19" s="40"/>
      <c r="AD19" s="40"/>
      <c r="AE19" s="40"/>
      <c r="AF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2"/>
      <c r="AR19" s="42"/>
      <c r="AS19" s="42"/>
      <c r="AT19" s="42"/>
      <c r="AU19" s="42"/>
      <c r="AV19" s="33"/>
    </row>
    <row r="20" spans="1:56">
      <c r="F20" s="39">
        <v>0.82640000000000002</v>
      </c>
      <c r="G20" s="28">
        <v>903</v>
      </c>
      <c r="H20" s="39">
        <v>0.14000000000000001</v>
      </c>
      <c r="I20" s="39"/>
      <c r="J20" s="39"/>
      <c r="K20" s="39"/>
      <c r="L20" s="39"/>
      <c r="M20" s="40"/>
      <c r="N20" s="36"/>
      <c r="O20" s="36"/>
      <c r="P20" s="36"/>
      <c r="Q20" s="22"/>
      <c r="R20" s="36"/>
      <c r="S20" s="22"/>
      <c r="T20" s="36"/>
      <c r="U20" s="41"/>
      <c r="V20" s="41"/>
      <c r="W20" s="41"/>
      <c r="X20" s="36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33"/>
      <c r="AR20" s="42"/>
      <c r="AS20" s="33"/>
      <c r="AT20" s="33"/>
      <c r="AU20" s="33"/>
      <c r="AV20" s="33"/>
    </row>
    <row r="21" spans="1:56">
      <c r="E21" s="39"/>
      <c r="F21" s="28">
        <v>84.05</v>
      </c>
      <c r="G21" s="28">
        <v>904</v>
      </c>
      <c r="H21" s="39">
        <v>0.14000000000000001</v>
      </c>
    </row>
    <row r="22" spans="1:56">
      <c r="F22" s="28">
        <v>81.99</v>
      </c>
      <c r="G22" s="28">
        <v>906</v>
      </c>
      <c r="H22" s="131">
        <v>7.0000000000000007E-2</v>
      </c>
    </row>
    <row r="23" spans="1:56" ht="15.75">
      <c r="A23" s="74"/>
      <c r="F23" s="28">
        <v>77.5</v>
      </c>
      <c r="G23" s="28">
        <v>907</v>
      </c>
      <c r="H23" s="131">
        <v>7.0000000000000007E-2</v>
      </c>
    </row>
    <row r="24" spans="1:56">
      <c r="E24" s="39"/>
      <c r="F24" s="28">
        <v>94.4</v>
      </c>
      <c r="G24" s="28">
        <v>913</v>
      </c>
      <c r="H24" s="28">
        <v>0</v>
      </c>
    </row>
    <row r="25" spans="1:56">
      <c r="F25" s="28">
        <v>73.400000000000006</v>
      </c>
      <c r="G25" s="28">
        <v>914</v>
      </c>
      <c r="H25" s="28">
        <v>0</v>
      </c>
    </row>
    <row r="26" spans="1:56">
      <c r="E26" s="38"/>
      <c r="F26" s="28">
        <v>80.900000000000006</v>
      </c>
      <c r="G26" s="28">
        <v>917</v>
      </c>
      <c r="H26" s="28">
        <v>7</v>
      </c>
    </row>
    <row r="27" spans="1:56">
      <c r="E27" s="38"/>
    </row>
  </sheetData>
  <mergeCells count="15">
    <mergeCell ref="AQ5:AU5"/>
    <mergeCell ref="BC5:BD5"/>
    <mergeCell ref="N5:T5"/>
    <mergeCell ref="A2:K2"/>
    <mergeCell ref="A3:K3"/>
    <mergeCell ref="A5:A7"/>
    <mergeCell ref="B5:B7"/>
    <mergeCell ref="C5:C7"/>
    <mergeCell ref="D5:D7"/>
    <mergeCell ref="F5:K5"/>
    <mergeCell ref="V5:W5"/>
    <mergeCell ref="Y5:Z5"/>
    <mergeCell ref="AW5:AY5"/>
    <mergeCell ref="AZ5:BA5"/>
    <mergeCell ref="AB5:AP5"/>
  </mergeCells>
  <pageMargins left="0.19685039370078741" right="0.19685039370078741" top="0.35433070866141736" bottom="0.74803149606299213" header="0.31496062992125984" footer="0.31496062992125984"/>
  <pageSetup paperSize="9" scale="65" fitToWidth="67" fitToHeight="21" orientation="landscape" verticalDpi="180" r:id="rId1"/>
  <colBreaks count="2" manualBreakCount="2">
    <brk id="17" max="16" man="1"/>
    <brk id="34" max="16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G20"/>
  <sheetViews>
    <sheetView topLeftCell="A13" workbookViewId="0">
      <selection activeCell="D17" sqref="D17:G17"/>
    </sheetView>
  </sheetViews>
  <sheetFormatPr defaultRowHeight="15"/>
  <cols>
    <col min="1" max="1" width="23.7109375" customWidth="1"/>
    <col min="2" max="2" width="7.28515625" customWidth="1"/>
    <col min="3" max="3" width="6.5703125" customWidth="1"/>
    <col min="4" max="4" width="12.85546875" style="11" customWidth="1"/>
    <col min="5" max="5" width="16.28515625" style="11" customWidth="1"/>
    <col min="6" max="6" width="17.28515625" style="11" customWidth="1"/>
    <col min="7" max="7" width="22.7109375" style="11" customWidth="1"/>
  </cols>
  <sheetData>
    <row r="4" spans="1:7" ht="15.75">
      <c r="D4"/>
      <c r="G4" s="12" t="s">
        <v>1</v>
      </c>
    </row>
    <row r="5" spans="1:7" ht="15.75">
      <c r="D5"/>
      <c r="G5" s="12" t="s">
        <v>2</v>
      </c>
    </row>
    <row r="6" spans="1:7" ht="15.75">
      <c r="D6"/>
      <c r="G6" s="12" t="s">
        <v>3</v>
      </c>
    </row>
    <row r="7" spans="1:7" ht="15.75">
      <c r="A7" s="1"/>
    </row>
    <row r="8" spans="1:7" ht="54" customHeight="1">
      <c r="A8" s="121" t="s">
        <v>38</v>
      </c>
      <c r="B8" s="121"/>
      <c r="C8" s="121"/>
      <c r="D8" s="121"/>
      <c r="E8" s="121"/>
      <c r="F8" s="121"/>
      <c r="G8" s="121"/>
    </row>
    <row r="9" spans="1:7">
      <c r="A9" s="122" t="s">
        <v>5</v>
      </c>
      <c r="B9" s="122" t="s">
        <v>6</v>
      </c>
      <c r="C9" s="122" t="s">
        <v>7</v>
      </c>
      <c r="D9" s="123" t="s">
        <v>8</v>
      </c>
      <c r="E9" s="123" t="s">
        <v>9</v>
      </c>
      <c r="F9" s="123"/>
      <c r="G9" s="123"/>
    </row>
    <row r="10" spans="1:7" s="4" customFormat="1" ht="153">
      <c r="A10" s="122"/>
      <c r="B10" s="122"/>
      <c r="C10" s="122"/>
      <c r="D10" s="123"/>
      <c r="E10" s="59" t="s">
        <v>39</v>
      </c>
      <c r="F10" s="59" t="s">
        <v>89</v>
      </c>
      <c r="G10" s="59" t="s">
        <v>90</v>
      </c>
    </row>
    <row r="11" spans="1:7" s="55" customFormat="1">
      <c r="A11" s="58"/>
      <c r="B11" s="58"/>
      <c r="C11" s="58"/>
      <c r="D11" s="58"/>
      <c r="E11" s="60">
        <v>0.3</v>
      </c>
      <c r="F11" s="60">
        <v>0.2</v>
      </c>
      <c r="G11" s="60">
        <v>0.5</v>
      </c>
    </row>
    <row r="12" spans="1:7" ht="25.5">
      <c r="A12" s="61" t="s">
        <v>44</v>
      </c>
      <c r="B12" s="62">
        <v>901</v>
      </c>
      <c r="C12" s="62"/>
      <c r="D12" s="56">
        <f>E12*E11+F12*F11+G12*G11</f>
        <v>1</v>
      </c>
      <c r="E12" s="56">
        <v>1</v>
      </c>
      <c r="F12" s="56">
        <v>1</v>
      </c>
      <c r="G12" s="56">
        <v>1</v>
      </c>
    </row>
    <row r="13" spans="1:7" ht="25.5">
      <c r="A13" s="61" t="s">
        <v>46</v>
      </c>
      <c r="B13" s="62">
        <v>902</v>
      </c>
      <c r="C13" s="62"/>
      <c r="D13" s="56">
        <f>E13*E11+F13*F11+G13*G11</f>
        <v>1</v>
      </c>
      <c r="E13" s="56">
        <v>1</v>
      </c>
      <c r="F13" s="56">
        <v>1</v>
      </c>
      <c r="G13" s="56">
        <v>1</v>
      </c>
    </row>
    <row r="14" spans="1:7" ht="38.25">
      <c r="A14" s="61" t="s">
        <v>88</v>
      </c>
      <c r="B14" s="62">
        <v>903</v>
      </c>
      <c r="C14" s="62"/>
      <c r="D14" s="56">
        <f>E14*E11+F14*F11+G14*G11</f>
        <v>1</v>
      </c>
      <c r="E14" s="56">
        <v>1</v>
      </c>
      <c r="F14" s="56">
        <v>1</v>
      </c>
      <c r="G14" s="56">
        <v>1</v>
      </c>
    </row>
    <row r="15" spans="1:7" ht="38.25">
      <c r="A15" s="61" t="s">
        <v>80</v>
      </c>
      <c r="B15" s="62">
        <v>904</v>
      </c>
      <c r="C15" s="62"/>
      <c r="D15" s="56">
        <f>E15*E11+F15*F11+G15*G11</f>
        <v>1</v>
      </c>
      <c r="E15" s="64">
        <v>1</v>
      </c>
      <c r="F15" s="64">
        <v>1</v>
      </c>
      <c r="G15" s="64">
        <v>1</v>
      </c>
    </row>
    <row r="16" spans="1:7" ht="38.25">
      <c r="A16" s="61" t="s">
        <v>48</v>
      </c>
      <c r="B16" s="62">
        <v>906</v>
      </c>
      <c r="C16" s="62"/>
      <c r="D16" s="56">
        <f>E16*E11+F16*F11+G16*G11</f>
        <v>1</v>
      </c>
      <c r="E16" s="56">
        <v>1</v>
      </c>
      <c r="F16" s="56">
        <v>1</v>
      </c>
      <c r="G16" s="56">
        <v>1</v>
      </c>
    </row>
    <row r="17" spans="1:7" ht="38.25">
      <c r="A17" s="61" t="s">
        <v>49</v>
      </c>
      <c r="B17" s="62">
        <v>907</v>
      </c>
      <c r="C17" s="62"/>
      <c r="D17" s="67">
        <f>E17*E11+F17*F11+G17*G11</f>
        <v>1</v>
      </c>
      <c r="E17" s="67">
        <v>1</v>
      </c>
      <c r="F17" s="67">
        <v>1</v>
      </c>
      <c r="G17" s="67">
        <v>1</v>
      </c>
    </row>
    <row r="18" spans="1:7" ht="51">
      <c r="A18" s="61" t="s">
        <v>50</v>
      </c>
      <c r="B18" s="62">
        <v>913</v>
      </c>
      <c r="C18" s="63"/>
      <c r="D18" s="56">
        <f>E18*E11+F18*F11+G18*G11</f>
        <v>1</v>
      </c>
      <c r="E18" s="57">
        <v>1</v>
      </c>
      <c r="F18" s="57">
        <v>1</v>
      </c>
      <c r="G18" s="57">
        <v>1</v>
      </c>
    </row>
    <row r="19" spans="1:7" ht="51">
      <c r="A19" s="61" t="s">
        <v>51</v>
      </c>
      <c r="B19" s="62">
        <v>917</v>
      </c>
      <c r="C19" s="62"/>
      <c r="D19" s="56">
        <f>E19*E11+F19*F11+G19*G11</f>
        <v>1</v>
      </c>
      <c r="E19" s="64">
        <v>1</v>
      </c>
      <c r="F19" s="64">
        <v>1</v>
      </c>
      <c r="G19" s="64">
        <v>1</v>
      </c>
    </row>
    <row r="20" spans="1:7" ht="51">
      <c r="A20" s="61" t="s">
        <v>58</v>
      </c>
      <c r="B20" s="62">
        <v>914</v>
      </c>
      <c r="C20" s="62"/>
      <c r="D20" s="56">
        <f>E20*E11+F20*F11+G20*G11</f>
        <v>1</v>
      </c>
      <c r="E20" s="56">
        <v>1</v>
      </c>
      <c r="F20" s="56">
        <v>1</v>
      </c>
      <c r="G20" s="56">
        <v>1</v>
      </c>
    </row>
  </sheetData>
  <mergeCells count="6">
    <mergeCell ref="A8:G8"/>
    <mergeCell ref="A9:A10"/>
    <mergeCell ref="B9:B10"/>
    <mergeCell ref="C9:C10"/>
    <mergeCell ref="D9:D10"/>
    <mergeCell ref="E9:G9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view="pageBreakPreview" zoomScale="80" zoomScaleSheetLayoutView="80" workbookViewId="0">
      <selection activeCell="E12" sqref="E12"/>
    </sheetView>
  </sheetViews>
  <sheetFormatPr defaultRowHeight="15"/>
  <cols>
    <col min="1" max="1" width="23.7109375" customWidth="1"/>
    <col min="2" max="2" width="8.140625" customWidth="1"/>
    <col min="3" max="3" width="7.28515625" customWidth="1"/>
    <col min="5" max="5" width="16.5703125" customWidth="1"/>
    <col min="6" max="6" width="17.28515625" customWidth="1"/>
    <col min="7" max="7" width="22.7109375" customWidth="1"/>
    <col min="8" max="8" width="16.42578125" customWidth="1"/>
    <col min="9" max="9" width="25.28515625" customWidth="1"/>
  </cols>
  <sheetData>
    <row r="1" spans="1:11" ht="15.75">
      <c r="I1" s="1" t="s">
        <v>36</v>
      </c>
    </row>
    <row r="2" spans="1:11" ht="15.75">
      <c r="I2" s="1" t="s">
        <v>37</v>
      </c>
    </row>
    <row r="3" spans="1:11" ht="15.75">
      <c r="I3" s="1" t="s">
        <v>0</v>
      </c>
    </row>
    <row r="4" spans="1:11" ht="15.75">
      <c r="I4" s="1" t="s">
        <v>1</v>
      </c>
    </row>
    <row r="5" spans="1:11" ht="15.75">
      <c r="I5" s="1" t="s">
        <v>2</v>
      </c>
    </row>
    <row r="6" spans="1:11" ht="15.75">
      <c r="I6" s="1" t="s">
        <v>3</v>
      </c>
    </row>
    <row r="7" spans="1:11" ht="15.75">
      <c r="A7" s="1"/>
    </row>
    <row r="8" spans="1:11" ht="54" customHeight="1" thickBot="1">
      <c r="A8" s="124" t="s">
        <v>61</v>
      </c>
      <c r="B8" s="124"/>
      <c r="C8" s="124"/>
      <c r="D8" s="124"/>
      <c r="E8" s="124"/>
      <c r="F8" s="124"/>
      <c r="G8" s="124"/>
      <c r="H8" s="124"/>
      <c r="I8" s="124"/>
    </row>
    <row r="9" spans="1:11" ht="15.75" thickBot="1">
      <c r="A9" s="125" t="s">
        <v>5</v>
      </c>
      <c r="B9" s="125" t="s">
        <v>6</v>
      </c>
      <c r="C9" s="125" t="s">
        <v>7</v>
      </c>
      <c r="D9" s="125" t="s">
        <v>8</v>
      </c>
      <c r="E9" s="127" t="s">
        <v>9</v>
      </c>
      <c r="F9" s="128"/>
      <c r="G9" s="128"/>
      <c r="H9" s="128"/>
      <c r="I9" s="129"/>
    </row>
    <row r="10" spans="1:11" s="4" customFormat="1" ht="179.25" thickBot="1">
      <c r="A10" s="126"/>
      <c r="B10" s="126"/>
      <c r="C10" s="126"/>
      <c r="D10" s="126"/>
      <c r="E10" s="2" t="s">
        <v>39</v>
      </c>
      <c r="F10" s="2" t="s">
        <v>40</v>
      </c>
      <c r="G10" s="2" t="s">
        <v>41</v>
      </c>
      <c r="H10" s="2" t="s">
        <v>42</v>
      </c>
      <c r="I10" s="2" t="s">
        <v>43</v>
      </c>
    </row>
    <row r="11" spans="1:11" ht="26.25" thickBot="1">
      <c r="A11" s="7" t="s">
        <v>44</v>
      </c>
      <c r="B11" s="3">
        <v>901</v>
      </c>
      <c r="C11" s="3">
        <v>2</v>
      </c>
      <c r="D11" s="3">
        <v>1.2000000000000002</v>
      </c>
      <c r="E11" s="3">
        <v>1</v>
      </c>
      <c r="F11" s="3">
        <v>1</v>
      </c>
      <c r="G11" s="3">
        <v>1</v>
      </c>
      <c r="H11" s="3" t="s">
        <v>45</v>
      </c>
      <c r="I11" s="3" t="s">
        <v>45</v>
      </c>
    </row>
    <row r="12" spans="1:11" ht="26.25" thickBot="1">
      <c r="A12" s="7" t="s">
        <v>46</v>
      </c>
      <c r="B12" s="3">
        <v>902</v>
      </c>
      <c r="C12" s="3">
        <v>9</v>
      </c>
      <c r="D12" s="3">
        <v>0.72</v>
      </c>
      <c r="E12" s="3">
        <v>0.6</v>
      </c>
      <c r="F12" s="3">
        <v>0</v>
      </c>
      <c r="G12" s="3">
        <v>1</v>
      </c>
      <c r="H12" s="3" t="s">
        <v>45</v>
      </c>
      <c r="I12" s="3" t="s">
        <v>45</v>
      </c>
    </row>
    <row r="13" spans="1:11" ht="39" thickBot="1">
      <c r="A13" s="7" t="s">
        <v>15</v>
      </c>
      <c r="B13" s="3">
        <v>904</v>
      </c>
      <c r="C13" s="3">
        <v>1</v>
      </c>
      <c r="D13" s="3">
        <v>1.2000000000000002</v>
      </c>
      <c r="E13" s="3">
        <v>1</v>
      </c>
      <c r="F13" s="3">
        <v>1</v>
      </c>
      <c r="G13" s="3">
        <v>1</v>
      </c>
      <c r="H13" s="3" t="s">
        <v>4</v>
      </c>
      <c r="I13" s="3" t="s">
        <v>4</v>
      </c>
    </row>
    <row r="14" spans="1:11" ht="90" thickBot="1">
      <c r="A14" s="9" t="s">
        <v>47</v>
      </c>
      <c r="B14" s="3">
        <v>905</v>
      </c>
      <c r="C14" s="3">
        <v>7</v>
      </c>
      <c r="D14" s="3">
        <v>0.90999999999999992</v>
      </c>
      <c r="E14" s="3">
        <v>1</v>
      </c>
      <c r="F14" s="3">
        <v>0</v>
      </c>
      <c r="G14" s="3">
        <v>1</v>
      </c>
      <c r="H14" s="3">
        <v>1</v>
      </c>
      <c r="I14" s="3">
        <v>0.7</v>
      </c>
      <c r="J14" s="5"/>
      <c r="K14" s="6"/>
    </row>
    <row r="15" spans="1:11" ht="39" thickBot="1">
      <c r="A15" s="10" t="s">
        <v>48</v>
      </c>
      <c r="B15" s="3">
        <v>906</v>
      </c>
      <c r="C15" s="3">
        <v>5</v>
      </c>
      <c r="D15" s="3">
        <v>1.1139999999999999</v>
      </c>
      <c r="E15" s="3">
        <v>1</v>
      </c>
      <c r="F15" s="3">
        <v>0.3</v>
      </c>
      <c r="G15" s="3">
        <v>1</v>
      </c>
      <c r="H15" s="3">
        <v>1</v>
      </c>
      <c r="I15" s="3">
        <v>1.18</v>
      </c>
    </row>
    <row r="16" spans="1:11" ht="39" thickBot="1">
      <c r="A16" s="7" t="s">
        <v>49</v>
      </c>
      <c r="B16" s="3">
        <v>907</v>
      </c>
      <c r="C16" s="3">
        <v>6</v>
      </c>
      <c r="D16" s="3">
        <v>1.1020000000000001</v>
      </c>
      <c r="E16" s="3">
        <v>1</v>
      </c>
      <c r="F16" s="3">
        <v>0.6</v>
      </c>
      <c r="G16" s="3">
        <v>1</v>
      </c>
      <c r="H16" s="3">
        <v>1</v>
      </c>
      <c r="I16" s="3">
        <v>0.94</v>
      </c>
    </row>
    <row r="17" spans="1:9" ht="51.75" thickBot="1">
      <c r="A17" s="7" t="s">
        <v>50</v>
      </c>
      <c r="B17" s="3">
        <v>913</v>
      </c>
      <c r="C17" s="3">
        <v>3</v>
      </c>
      <c r="D17" s="3">
        <v>1.1790000000000003</v>
      </c>
      <c r="E17" s="3">
        <v>1</v>
      </c>
      <c r="F17" s="3">
        <v>1</v>
      </c>
      <c r="G17" s="3">
        <v>1</v>
      </c>
      <c r="H17" s="3">
        <v>1</v>
      </c>
      <c r="I17" s="3">
        <v>0.93</v>
      </c>
    </row>
    <row r="18" spans="1:9" ht="51.75" thickBot="1">
      <c r="A18" s="7" t="s">
        <v>51</v>
      </c>
      <c r="B18" s="3">
        <v>917</v>
      </c>
      <c r="C18" s="3">
        <v>8</v>
      </c>
      <c r="D18" s="3">
        <v>0.8</v>
      </c>
      <c r="E18" s="3">
        <v>1</v>
      </c>
      <c r="F18" s="3">
        <v>0</v>
      </c>
      <c r="G18" s="3">
        <v>1</v>
      </c>
      <c r="H18" s="3" t="s">
        <v>4</v>
      </c>
      <c r="I18" s="3" t="s">
        <v>4</v>
      </c>
    </row>
    <row r="19" spans="1:9" ht="51.75" thickBot="1">
      <c r="A19" s="7" t="s">
        <v>58</v>
      </c>
      <c r="B19" s="3">
        <v>914</v>
      </c>
      <c r="C19" s="3">
        <v>4</v>
      </c>
      <c r="D19" s="3">
        <v>1.1499999999999999</v>
      </c>
      <c r="E19" s="3">
        <v>1</v>
      </c>
      <c r="F19" s="3">
        <v>0.3</v>
      </c>
      <c r="G19" s="3">
        <v>1</v>
      </c>
      <c r="H19" s="3">
        <v>1</v>
      </c>
      <c r="I19" s="3">
        <v>1.3</v>
      </c>
    </row>
    <row r="20" spans="1:9">
      <c r="D20" s="8"/>
      <c r="E20" s="8"/>
      <c r="F20" s="8"/>
      <c r="G20" s="8"/>
      <c r="H20" s="8"/>
      <c r="I20" s="8"/>
    </row>
  </sheetData>
  <mergeCells count="6">
    <mergeCell ref="A8:I8"/>
    <mergeCell ref="A9:A10"/>
    <mergeCell ref="B9:B10"/>
    <mergeCell ref="C9:C10"/>
    <mergeCell ref="D9:D10"/>
    <mergeCell ref="E9:I9"/>
  </mergeCells>
  <pageMargins left="0.43307086614173229" right="0.31496062992125984" top="0.89" bottom="0.63" header="0.31496062992125984" footer="0.31496062992125984"/>
  <pageSetup paperSize="9" scale="95" fitToHeight="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10 (2)</vt:lpstr>
      <vt:lpstr>Мониторинг 2022</vt:lpstr>
      <vt:lpstr>прил2 таб 1 (2)</vt:lpstr>
      <vt:lpstr>прил2 таб 1 (3)</vt:lpstr>
      <vt:lpstr>'Мониторинг 2022'!Заголовки_для_печати</vt:lpstr>
      <vt:lpstr>'Мониторинг 2022'!Область_печати</vt:lpstr>
      <vt:lpstr>'прил2 таб 1 (3)'!Область_печати</vt:lpstr>
      <vt:lpstr>'приложение 10 (2)'!Область_печати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2023-02-08T14:59:35Z</dcterms:modified>
</cp:coreProperties>
</file>